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binar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Data/itemProps1.xml" ContentType="application/vnd.ms-excel.customData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portal.bud.bpa.gov/sites/RateCase/BP-26/studies_docs_GRSPs/Transmission Team Library/Rates Analysis/3 - Final Proposal/"/>
    </mc:Choice>
  </mc:AlternateContent>
  <xr:revisionPtr revIDLastSave="0" documentId="13_ncr:1_{A08A9225-761F-4771-9378-181C3619737B}" xr6:coauthVersionLast="47" xr6:coauthVersionMax="47" xr10:uidLastSave="{00000000-0000-0000-0000-000000000000}"/>
  <bookViews>
    <workbookView xWindow="25080" yWindow="-120" windowWidth="25440" windowHeight="15270" tabRatio="754" xr2:uid="{00000000-000D-0000-FFFF-FFFF00000000}"/>
  </bookViews>
  <sheets>
    <sheet name="T-1" sheetId="134" r:id="rId1"/>
    <sheet name="T-2" sheetId="3" r:id="rId2"/>
    <sheet name="T-3" sheetId="5" r:id="rId3"/>
    <sheet name="T-4" sheetId="29" r:id="rId4"/>
    <sheet name="T-5" sheetId="30" r:id="rId5"/>
    <sheet name="T-6" sheetId="89" r:id="rId6"/>
    <sheet name="T-7" sheetId="14" r:id="rId7"/>
    <sheet name="T-8.1" sheetId="92" r:id="rId8"/>
    <sheet name="T-8.2" sheetId="138" r:id="rId9"/>
    <sheet name="T-8.3" sheetId="213" r:id="rId10"/>
    <sheet name="T-8.4" sheetId="214" r:id="rId11"/>
    <sheet name="T-9" sheetId="95" r:id="rId12"/>
    <sheet name="T-10" sheetId="274" r:id="rId13"/>
  </sheets>
  <definedNames>
    <definedName name="_1759">#REF!</definedName>
    <definedName name="_AtRisk_FitDataRange_FIT_18F24_C6218" hidden="1">#REF!</definedName>
    <definedName name="_AtRisk_FitDataRange_FIT_25FFF_61EF8" hidden="1">#REF!</definedName>
    <definedName name="_AtRisk_FitDataRange_FIT_545C_9EE4E" hidden="1">#REF!</definedName>
    <definedName name="_AtRisk_FitDataRange_FIT_8BB92_BCCEE" hidden="1">#REF!</definedName>
    <definedName name="_AtRisk_FitDataRange_FIT_90501_EC131" hidden="1">#REF!</definedName>
    <definedName name="_AtRisk_FitDataRange_FIT_CF45D_6635C" hidden="1">#REF!</definedName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CorrelationEnabledState" hidden="1">1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axAutoIterations" hidden="1">50000</definedName>
    <definedName name="_AtRisk_SimSetting_MultipleCPUCount" hidden="1">-1</definedName>
    <definedName name="_AtRisk_SimSetting_MultipleCPUManualCount" hidden="1">4</definedName>
    <definedName name="_AtRisk_SimSetting_MultipleCPUMode" hidden="1">0</definedName>
    <definedName name="_AtRisk_SimSetting_MultipleCPUModeV8" hidden="1">2</definedName>
    <definedName name="_AtRisk_SimSetting_RandomNumberGenerator" hidden="1">0</definedName>
    <definedName name="_AtRisk_SimSetting_ReportOptionCustomItemsCount" hidden="1">0</definedName>
    <definedName name="_AtRisk_SimSetting_ReportOptionDataMode" hidden="1">1</definedName>
    <definedName name="_AtRisk_SimSetting_ReportOptionReportMultiSimType" hidden="1">1</definedName>
    <definedName name="_AtRisk_SimSetting_ReportOptionReportPlacement" hidden="1">1</definedName>
    <definedName name="_AtRisk_SimSetting_ReportOptionReportSelection" hidden="1">528</definedName>
    <definedName name="_AtRisk_SimSetting_ReportOptionReportsFileType" hidden="1">1</definedName>
    <definedName name="_AtRisk_SimSetting_ReportOptionReportStyle" hidden="1">1</definedName>
    <definedName name="_AtRisk_SimSetting_ReportOptionSelectiveQR" hidden="1">FALSE</definedName>
    <definedName name="_AtRisk_SimSetting_ReportsList" hidden="1">528</definedName>
    <definedName name="_AtRisk_SimSetting_ShowSimulationProgressWindow" hidden="1">TRUE</definedName>
    <definedName name="_AtRisk_SimSetting_SimName001" hidden="1">0.005</definedName>
    <definedName name="_AtRisk_SimSetting_SimName002" hidden="1">0.015</definedName>
    <definedName name="_AtRisk_SimSetting_SimName003" hidden="1">"2.3% Load Growth"</definedName>
    <definedName name="_AtRisk_SimSetting_SimName004" hidden="1">"3.5% Load Growth"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Key1" hidden="1">#REF!</definedName>
    <definedName name="_Order1" hidden="1">255</definedName>
    <definedName name="_Order2" hidden="1">255</definedName>
    <definedName name="_SCH18">#REF!</definedName>
    <definedName name="_Sort" hidden="1">#REF!</definedName>
    <definedName name="_Sort_new" hidden="1">#REF!</definedName>
    <definedName name="_Sort2" hidden="1">#REF!</definedName>
    <definedName name="A_SW1">#REF!</definedName>
    <definedName name="A_SW1back">#REF!</definedName>
    <definedName name="AccessDatabase" hidden="1">"I:\COMTREL\FINICLE\TradeSummary.mdb"</definedName>
    <definedName name="Albeni_pf">#REF!</definedName>
    <definedName name="Area">#REF!</definedName>
    <definedName name="ARSUB">#REF!</definedName>
    <definedName name="ARSUBSWYD">#REF!</definedName>
    <definedName name="ASD">#REF!</definedName>
    <definedName name="B">{#N/A,#N/A,FALSE,"Coversheet";#N/A,#N/A,FALSE,"QA"}</definedName>
    <definedName name="b_1" hidden="1">{#N/A,#N/A,FALSE,"Coversheet";#N/A,#N/A,FALSE,"QA"}</definedName>
    <definedName name="b_2" hidden="1">{#N/A,#N/A,FALSE,"Coversheet";#N/A,#N/A,FALSE,"QA"}</definedName>
    <definedName name="b_3" hidden="1">{#N/A,#N/A,FALSE,"Coversheet";#N/A,#N/A,FALSE,"QA"}</definedName>
    <definedName name="B_SW2">#REF!</definedName>
    <definedName name="B_SW2back">#REF!</definedName>
    <definedName name="Basic_13965">#REF!</definedName>
    <definedName name="Basic_91697">#REF!</definedName>
    <definedName name="Basic_92359">#REF!</definedName>
    <definedName name="Basic_92364">#REF!</definedName>
    <definedName name="Basic_93486">#REF!</definedName>
    <definedName name="Basic_93752">#REF!</definedName>
    <definedName name="BCIDSUB">#REF!</definedName>
    <definedName name="BCPUMP">#REF!</definedName>
    <definedName name="BOIIDC">#REF!</definedName>
    <definedName name="BOISE">#REF!</definedName>
    <definedName name="Bonn_pf">#REF!</definedName>
    <definedName name="BPP">#REF!</definedName>
    <definedName name="bun">#REF!</definedName>
    <definedName name="C_SJI">#REF!</definedName>
    <definedName name="C_SJIback">#REF!</definedName>
    <definedName name="ChJo_pf">#REF!</definedName>
    <definedName name="CHNDIDC">#REF!</definedName>
    <definedName name="CHNDPP">#REF!</definedName>
    <definedName name="CHNDSWYD">#REF!</definedName>
    <definedName name="Cost_Authority">#REF!</definedName>
    <definedName name="Cougar_pf">#REF!</definedName>
    <definedName name="D_Other">#REF!</definedName>
    <definedName name="D_Otherback">#REF!</definedName>
    <definedName name="Dalles_pf">#REF!</definedName>
    <definedName name="Data_IDP">#REF!</definedName>
    <definedName name="Dave">#REF!</definedName>
    <definedName name="Debit_Credit">#REF!</definedName>
    <definedName name="defAllocation">#REF!</definedName>
    <definedName name="default_pf">#REF!</definedName>
    <definedName name="DELETE01" hidden="1">{#N/A,#N/A,FALSE,"Coversheet";#N/A,#N/A,FALSE,"QA"}</definedName>
    <definedName name="DELETE01_1" hidden="1">{#N/A,#N/A,FALSE,"Coversheet";#N/A,#N/A,FALSE,"QA"}</definedName>
    <definedName name="DELETE01_2" hidden="1">{#N/A,#N/A,FALSE,"Coversheet";#N/A,#N/A,FALSE,"QA"}</definedName>
    <definedName name="DELETE01_3" hidden="1">{#N/A,#N/A,FALSE,"Coversheet";#N/A,#N/A,FALSE,"QA"}</definedName>
    <definedName name="DELETE02" hidden="1">{#N/A,#N/A,FALSE,"Schedule F";#N/A,#N/A,FALSE,"Schedule G"}</definedName>
    <definedName name="DELETE02_1" hidden="1">{#N/A,#N/A,FALSE,"Schedule F";#N/A,#N/A,FALSE,"Schedule G"}</definedName>
    <definedName name="DELETE02_2" hidden="1">{#N/A,#N/A,FALSE,"Schedule F";#N/A,#N/A,FALSE,"Schedule G"}</definedName>
    <definedName name="DELETE02_3" hidden="1">{#N/A,#N/A,FALSE,"Schedule F";#N/A,#N/A,FALSE,"Schedule G"}</definedName>
    <definedName name="Delete06" hidden="1">{#N/A,#N/A,FALSE,"Coversheet";#N/A,#N/A,FALSE,"QA"}</definedName>
    <definedName name="Delete06_1" hidden="1">{#N/A,#N/A,FALSE,"Coversheet";#N/A,#N/A,FALSE,"QA"}</definedName>
    <definedName name="Delete06_2" hidden="1">{#N/A,#N/A,FALSE,"Coversheet";#N/A,#N/A,FALSE,"QA"}</definedName>
    <definedName name="Delete06_3" hidden="1">{#N/A,#N/A,FALSE,"Coversheet";#N/A,#N/A,FALSE,"QA"}</definedName>
    <definedName name="Delete09" hidden="1">{#N/A,#N/A,FALSE,"Coversheet";#N/A,#N/A,FALSE,"QA"}</definedName>
    <definedName name="Delete09_1" hidden="1">{#N/A,#N/A,FALSE,"Coversheet";#N/A,#N/A,FALSE,"QA"}</definedName>
    <definedName name="Delete09_2" hidden="1">{#N/A,#N/A,FALSE,"Coversheet";#N/A,#N/A,FALSE,"QA"}</definedName>
    <definedName name="Delete09_3" hidden="1">{#N/A,#N/A,FALSE,"Coversheet";#N/A,#N/A,FALSE,"QA"}</definedName>
    <definedName name="Delete1" hidden="1">{#N/A,#N/A,FALSE,"Coversheet";#N/A,#N/A,FALSE,"QA"}</definedName>
    <definedName name="Delete1_1" hidden="1">{#N/A,#N/A,FALSE,"Coversheet";#N/A,#N/A,FALSE,"QA"}</definedName>
    <definedName name="Delete1_2" hidden="1">{#N/A,#N/A,FALSE,"Coversheet";#N/A,#N/A,FALSE,"QA"}</definedName>
    <definedName name="Delete1_3" hidden="1">{#N/A,#N/A,FALSE,"Coversheet";#N/A,#N/A,FALSE,"QA"}</definedName>
    <definedName name="Delete10" hidden="1">{#N/A,#N/A,FALSE,"Schedule F";#N/A,#N/A,FALSE,"Schedule G"}</definedName>
    <definedName name="Delete10_1" hidden="1">{#N/A,#N/A,FALSE,"Schedule F";#N/A,#N/A,FALSE,"Schedule G"}</definedName>
    <definedName name="Delete10_2" hidden="1">{#N/A,#N/A,FALSE,"Schedule F";#N/A,#N/A,FALSE,"Schedule G"}</definedName>
    <definedName name="Delete10_3" hidden="1">{#N/A,#N/A,FALSE,"Schedule F";#N/A,#N/A,FALSE,"Schedule G"}</definedName>
    <definedName name="Delete21" hidden="1">{#N/A,#N/A,FALSE,"Coversheet";#N/A,#N/A,FALSE,"QA"}</definedName>
    <definedName name="Delete21_1" hidden="1">{#N/A,#N/A,FALSE,"Coversheet";#N/A,#N/A,FALSE,"QA"}</definedName>
    <definedName name="Delete21_2" hidden="1">{#N/A,#N/A,FALSE,"Coversheet";#N/A,#N/A,FALSE,"QA"}</definedName>
    <definedName name="Delete21_3" hidden="1">{#N/A,#N/A,FALSE,"Coversheet";#N/A,#N/A,FALSE,"QA"}</definedName>
    <definedName name="Detroit_pf">#REF!</definedName>
    <definedName name="df">40819.3484837963</definedName>
    <definedName name="DKVCABLES">#REF!</definedName>
    <definedName name="DKVPCT">#REF!</definedName>
    <definedName name="DKVSwitch">#REF!</definedName>
    <definedName name="dsa">#REF!</definedName>
    <definedName name="EAST_HIGH">#REF!</definedName>
    <definedName name="EAST_LOW">#REF!</definedName>
    <definedName name="ELEC_GCPO">#REF!</definedName>
    <definedName name="ELECTRIC">#REF!</definedName>
    <definedName name="EMMETSUB">#REF!</definedName>
    <definedName name="Ending_Balance">#REF!</definedName>
    <definedName name="FISH_WILD">#REF!</definedName>
    <definedName name="fred" hidden="1">#REF!</definedName>
    <definedName name="FUTURE">#REF!</definedName>
    <definedName name="FY">#REF!</definedName>
    <definedName name="GSSWYD">#REF!</definedName>
    <definedName name="HH">#REF!</definedName>
    <definedName name="HHIDC">#REF!</definedName>
    <definedName name="HHTXPLANT">#REF!</definedName>
    <definedName name="HillsCr_pf">#REF!</definedName>
    <definedName name="IceHarb_pf">#REF!</definedName>
    <definedName name="IDP">#REF!</definedName>
    <definedName name="IRR_ABANDONED">#REF!</definedName>
    <definedName name="Jessie">#REF!</definedName>
    <definedName name="JohnDay_pf">#REF!</definedName>
    <definedName name="LEASED">#REF!</definedName>
    <definedName name="LINES">#REF!</definedName>
    <definedName name="LitGoos_pf">#REF!</definedName>
    <definedName name="LookOut_pf">#REF!</definedName>
    <definedName name="LowGran_pf">#REF!</definedName>
    <definedName name="LowMon_pf">#REF!</definedName>
    <definedName name="Mary">#REF!</definedName>
    <definedName name="McNary_pf">#REF!</definedName>
    <definedName name="MD138PAUL">#REF!</definedName>
    <definedName name="MD138RAFT">#REF!</definedName>
    <definedName name="MD138UNITY">#REF!</definedName>
    <definedName name="MDA4TX">#REF!</definedName>
    <definedName name="MDBURL">#REF!</definedName>
    <definedName name="MDELEC">#REF!</definedName>
    <definedName name="MDGENPROP">#REF!</definedName>
    <definedName name="MDIDC">#REF!</definedName>
    <definedName name="MDIDPW2">#REF!</definedName>
    <definedName name="MDIDPWR">#REF!</definedName>
    <definedName name="MDIDPWR7">#REF!</definedName>
    <definedName name="MDPP">#REF!</definedName>
    <definedName name="MDSWYD">#REF!</definedName>
    <definedName name="MDTWOLIFT">#REF!</definedName>
    <definedName name="MINI">#REF!</definedName>
    <definedName name="MODLEFTSW">#REF!</definedName>
    <definedName name="MP">#REF!</definedName>
    <definedName name="MULTI_GCPO">#REF!</definedName>
    <definedName name="MULTIPURPOSE">#REF!</definedName>
    <definedName name="n">#REF!</definedName>
    <definedName name="NAME">#REF!</definedName>
    <definedName name="Norah">#REF!</definedName>
    <definedName name="NvsASD">"V2011-06-30"</definedName>
    <definedName name="NvsAutoDrillOk">"VY"</definedName>
    <definedName name="NvsElapsedTime">0.0000810185156296939</definedName>
    <definedName name="NvsEndTime">40730.3801967593</definedName>
    <definedName name="NvsInstLang">"VENG"</definedName>
    <definedName name="NvsInstSpec">"%"</definedName>
    <definedName name="NvsInstSpec1">","</definedName>
    <definedName name="NvsInstSpec2">","</definedName>
    <definedName name="NvsInstSpec3">","</definedName>
    <definedName name="NvsInstSpec4">","</definedName>
    <definedName name="NvsInstSpec5">","</definedName>
    <definedName name="NvsInstSpec6">","</definedName>
    <definedName name="NvsInstSpec7">","</definedName>
    <definedName name="NvsInstSpec8">","</definedName>
    <definedName name="NvsInstSpec9">","</definedName>
    <definedName name="NvsLayoutType">"M3"</definedName>
    <definedName name="NvsNplSpec">"%,X,RZF..,CZF.."</definedName>
    <definedName name="NvsPanelBusUnit">"V"</definedName>
    <definedName name="NvsPanelEffdt">"V2002-10-01"</definedName>
    <definedName name="NvsPanelSetid">"VFCRPS"</definedName>
    <definedName name="NvsReqBU">"VCORPT"</definedName>
    <definedName name="NvsReqBUOnly">"VN"</definedName>
    <definedName name="NvsTransLed">"VN"</definedName>
    <definedName name="NvsTreeASD">"V2010-10-01"</definedName>
    <definedName name="NvsValTbl.ACCOUNT">"GL_ACCOUNT_TBL"</definedName>
    <definedName name="NvsValTbl.BUSINESS_UNIT">"BUS_UNIT_TBL_GL"</definedName>
    <definedName name="NvsValTbl.PRODUCT">"PRODUCT_TBL"</definedName>
    <definedName name="NvsValTbl.PROJECT_ID">"PROJECT_VW"</definedName>
    <definedName name="NvsValTbl.SCENARIO">"BD_SCENARIO_TBL"</definedName>
    <definedName name="OCSWYD">#REF!</definedName>
    <definedName name="OTHER">#REF!</definedName>
    <definedName name="OTHER_IRR">#REF!</definedName>
    <definedName name="OTHER_PLANT">#REF!</definedName>
    <definedName name="OTHERKVVOLTS">#REF!</definedName>
    <definedName name="PAGE_1">#REF!</definedName>
    <definedName name="PAGE_2">#REF!</definedName>
    <definedName name="PAGE_3">#REF!</definedName>
    <definedName name="PAGE_4">#REF!</definedName>
    <definedName name="PAGE_5">#REF!</definedName>
    <definedName name="PAGE_6">#REF!</definedName>
    <definedName name="PAGE1">#REF!</definedName>
    <definedName name="PAGE2">#REF!</definedName>
    <definedName name="PAGE3">#REF!</definedName>
    <definedName name="PAGE4">#REF!</definedName>
    <definedName name="PAGE5">#REF!</definedName>
    <definedName name="PAGE6">#REF!</definedName>
    <definedName name="PAGE7">#REF!</definedName>
    <definedName name="PageFour">#REF!</definedName>
    <definedName name="PageOne">#REF!</definedName>
    <definedName name="PageThree">#REF!</definedName>
    <definedName name="PageTwo">#REF!</definedName>
    <definedName name="PAL">#REF!</definedName>
    <definedName name="Pal_Workbook_GUID" localSheetId="0" hidden="1">"NZB5PAS3VDH1XTTTDGSSF8GM"</definedName>
    <definedName name="Pal_Workbook_GUID" localSheetId="8" hidden="1">"NZB5PAS3VDH1XTTTDGSSF8GM"</definedName>
    <definedName name="Pal_Workbook_GUID" hidden="1">"FJM6T85A6CQYU9FNDC67VR17"</definedName>
    <definedName name="PASCO">#REF!</definedName>
    <definedName name="PCCCS">#REF!</definedName>
    <definedName name="PED">#REF!</definedName>
    <definedName name="pf">#REF!</definedName>
    <definedName name="PIDC">#REF!</definedName>
    <definedName name="PIDC1">#REF!</definedName>
    <definedName name="PIDCI">#REF!</definedName>
    <definedName name="PIDCII">#REF!</definedName>
    <definedName name="PMET">#REF!</definedName>
    <definedName name="POTHOLES">#REF!</definedName>
    <definedName name="PPE">#REF!</definedName>
    <definedName name="PPFI">#REF!</definedName>
    <definedName name="PPP">#REF!</definedName>
    <definedName name="PRIMARY_IRR">#REF!</definedName>
    <definedName name="_xlnm.Print_Area">#REF!</definedName>
    <definedName name="Print_Area_MI">#REF!</definedName>
    <definedName name="PRODPLANT">#REF!</definedName>
    <definedName name="Project_Type_Category">#REF!</definedName>
    <definedName name="PSWYD">#REF!</definedName>
    <definedName name="PumpGen">#REF!</definedName>
    <definedName name="PwrGasCorr">#REF!</definedName>
    <definedName name="Q1_Text">#REF!</definedName>
    <definedName name="QSquared">#REF!</definedName>
    <definedName name="RBU">#REF!</definedName>
    <definedName name="RID">#REF!</definedName>
    <definedName name="RiskAfterRecalcMacro" hidden="1">""</definedName>
    <definedName name="RiskAfterSimMacro" hidden="1">""</definedName>
    <definedName name="RiskAutoStopPercChange">1.5</definedName>
    <definedName name="RiskBeforeRecalcMacro" hidden="1">""</definedName>
    <definedName name="RiskBeforeSimMacro" hidden="1">""</definedName>
    <definedName name="RiskCollectDistributionSamples" hidden="1">2</definedName>
    <definedName name="RiskExcelReportsGoInNewWorkbook">TRUE</definedName>
    <definedName name="RiskExcelReportsToGenerate">0</definedName>
    <definedName name="RiskFixedSeed" hidden="1">1</definedName>
    <definedName name="RiskGenerateExcelReportsAtEndOfSimulation">FALSE</definedName>
    <definedName name="RiskHasSettings" hidden="1">7</definedName>
    <definedName name="RiskIsInput" hidden="1">FALSE</definedName>
    <definedName name="RiskIsInputUncapped">_xll.RiskCellHasTokens(512)</definedName>
    <definedName name="RiskIsOptimization" hidden="1">FALSE</definedName>
    <definedName name="RiskIsOutput" hidden="1">FALSE</definedName>
    <definedName name="RiskIsOutputUncapped">_xll.RiskCellHasTokens(1024)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3200</definedName>
    <definedName name="RiskNumSimulations" hidden="1">1</definedName>
    <definedName name="RiskPauseOnError" hidden="1">FALSE</definedName>
    <definedName name="RiskRealTimeResults">FALSE</definedName>
    <definedName name="RiskReportGraphFormat">0</definedName>
    <definedName name="RiskResultsUpdateFreq">100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howRiskWindowAtEndOfSimulation">TRUE</definedName>
    <definedName name="RiskStandardRecalc" hidden="1">1</definedName>
    <definedName name="RiskTemplateSheetName">"myTemplate"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  <definedName name="Rob">#REF!</definedName>
    <definedName name="ROZA">#REF!</definedName>
    <definedName name="RR">#REF!</definedName>
    <definedName name="RTT">#REF!</definedName>
    <definedName name="RZIDC">#REF!</definedName>
    <definedName name="RZLINSUB">#REF!</definedName>
    <definedName name="RZSWYDSUB">#REF!</definedName>
    <definedName name="SERVICE">#REF!</definedName>
    <definedName name="SFD">#REF!</definedName>
    <definedName name="SFV">#REF!</definedName>
    <definedName name="SGL_Account">#REF!</definedName>
    <definedName name="SLD">#REF!</definedName>
    <definedName name="solver_adj" localSheetId="5" hidden="1">'T-6'!#REF!</definedName>
    <definedName name="solver_cvg" localSheetId="5" hidden="1">0.0001</definedName>
    <definedName name="solver_drv" localSheetId="5" hidden="1">2</definedName>
    <definedName name="solver_eng" localSheetId="5" hidden="1">1</definedName>
    <definedName name="solver_est" localSheetId="5" hidden="1">1</definedName>
    <definedName name="solver_itr" localSheetId="5" hidden="1">2147483647</definedName>
    <definedName name="solver_mip" localSheetId="5" hidden="1">2147483647</definedName>
    <definedName name="solver_mni" localSheetId="5" hidden="1">30</definedName>
    <definedName name="solver_mrt" localSheetId="5" hidden="1">0.075</definedName>
    <definedName name="solver_msl" localSheetId="5" hidden="1">2</definedName>
    <definedName name="solver_neg" localSheetId="5" hidden="1">1</definedName>
    <definedName name="solver_nod" localSheetId="5" hidden="1">2147483647</definedName>
    <definedName name="solver_num" localSheetId="5" hidden="1">0</definedName>
    <definedName name="solver_nwt" localSheetId="5" hidden="1">1</definedName>
    <definedName name="solver_opt" localSheetId="5" hidden="1">'T-6'!$H$6</definedName>
    <definedName name="solver_pre" localSheetId="5" hidden="1">0.000001</definedName>
    <definedName name="solver_rbv" localSheetId="5" hidden="1">2</definedName>
    <definedName name="solver_rlx" localSheetId="5" hidden="1">2</definedName>
    <definedName name="solver_rsd" localSheetId="5" hidden="1">0</definedName>
    <definedName name="solver_scl" localSheetId="5" hidden="1">2</definedName>
    <definedName name="solver_sho" localSheetId="5" hidden="1">2</definedName>
    <definedName name="solver_ssz" localSheetId="5" hidden="1">100</definedName>
    <definedName name="solver_tim" localSheetId="5" hidden="1">2147483647</definedName>
    <definedName name="solver_tol" localSheetId="5" hidden="1">0.01</definedName>
    <definedName name="solver_typ" localSheetId="5" hidden="1">3</definedName>
    <definedName name="solver_val" localSheetId="5" hidden="1">0</definedName>
    <definedName name="solver_ver" localSheetId="5" hidden="1">3</definedName>
    <definedName name="STD">#REF!</definedName>
    <definedName name="test">#REF!</definedName>
    <definedName name="test2">#REF!</definedName>
    <definedName name="TOTALS">#REF!</definedName>
    <definedName name="WBS_Element">#REF!</definedName>
    <definedName name="WBS_Program">#REF!</definedName>
    <definedName name="WEST_CANAL">#REF!</definedName>
    <definedName name="wrn.7b2." hidden="1">{"pfexch7b2",#N/A,FALSE,"7(b)(2)";"PFPREF7b2",#N/A,FALSE,"7(b)(2)"}</definedName>
    <definedName name="wrn.COSTS." hidden="1">{"costs97",#N/A,FALSE,"COSA";"costs98",#N/A,FALSE,"COSA";"costs99",#N/A,FALSE,"COSA";"costs00",#N/A,FALSE,"COSA";"costs01",#N/A,FALSE,"COSA";"costsTP",#N/A,FALSE,"COSA"}</definedName>
    <definedName name="wrn.Customer._.Counts._.Electric." hidden="1">{#N/A,#N/A,FALSE,"Pg 6a CustCount_Electric";#N/A,#N/A,FALSE,"QA";"monthly",#N/A,FALSE,"Elect_Cust#Avg";"Year To Date",#N/A,FALSE,"Elect_Cust#Avg";"Rollling 12 months ended",#N/A,FALSE,"Elect_Cust#Avg";"Budget Month",#N/A,FALSE,"Electric";"Budget YTD",#N/A,FALSE,"Electric";"Budget 12 months",#N/A,FALSE,"Electric"}</definedName>
    <definedName name="wrn.Customer._.Counts._.Electric._1" hidden="1">{#N/A,#N/A,FALSE,"Pg 6a CustCount_Electric";#N/A,#N/A,FALSE,"QA";"monthly",#N/A,FALSE,"Elect_Cust#Avg";"Year To Date",#N/A,FALSE,"Elect_Cust#Avg";"Rollling 12 months ended",#N/A,FALSE,"Elect_Cust#Avg";"Budget Month",#N/A,FALSE,"Electric";"Budget YTD",#N/A,FALSE,"Electric";"Budget 12 months",#N/A,FALSE,"Electric"}</definedName>
    <definedName name="wrn.Customer._.Counts._.Electric._2" hidden="1">{#N/A,#N/A,FALSE,"Pg 6a CustCount_Electric";#N/A,#N/A,FALSE,"QA";"monthly",#N/A,FALSE,"Elect_Cust#Avg";"Year To Date",#N/A,FALSE,"Elect_Cust#Avg";"Rollling 12 months ended",#N/A,FALSE,"Elect_Cust#Avg";"Budget Month",#N/A,FALSE,"Electric";"Budget YTD",#N/A,FALSE,"Electric";"Budget 12 months",#N/A,FALSE,"Electric"}</definedName>
    <definedName name="wrn.Customer._.Counts._.Electric._3" hidden="1">{#N/A,#N/A,FALSE,"Pg 6a CustCount_Electric";#N/A,#N/A,FALSE,"QA";"monthly",#N/A,FALSE,"Elect_Cust#Avg";"Year To Date",#N/A,FALSE,"Elect_Cust#Avg";"Rollling 12 months ended",#N/A,FALSE,"Elect_Cust#Avg";"Budget Month",#N/A,FALSE,"Electric";"Budget YTD",#N/A,FALSE,"Electric";"Budget 12 months",#N/A,FALSE,"Electric"}</definedName>
    <definedName name="wrn.Customer._.Counts._.Gas." hidden="1">{#N/A,#N/A,FALSE,"Pg 6b CustCount_Gas";#N/A,#N/A,FALSE,"QA";#N/A,#N/A,FALSE,"Report";#N/A,#N/A,FALSE,"forecast"}</definedName>
    <definedName name="wrn.Customer._.Counts._.Gas._1" hidden="1">{#N/A,#N/A,FALSE,"Pg 6b CustCount_Gas";#N/A,#N/A,FALSE,"QA";#N/A,#N/A,FALSE,"Report";#N/A,#N/A,FALSE,"forecast"}</definedName>
    <definedName name="wrn.Customer._.Counts._.Gas._2" hidden="1">{#N/A,#N/A,FALSE,"Pg 6b CustCount_Gas";#N/A,#N/A,FALSE,"QA";#N/A,#N/A,FALSE,"Report";#N/A,#N/A,FALSE,"forecast"}</definedName>
    <definedName name="wrn.Customer._.Counts._.Gas._3" hidden="1">{#N/A,#N/A,FALSE,"Pg 6b CustCount_Gas";#N/A,#N/A,FALSE,"QA";#N/A,#N/A,FALSE,"Report";#N/A,#N/A,FALSE,"forecast"}</definedName>
    <definedName name="wrn.Fundamental." hidden="1">{#N/A,#N/A,TRUE,"CoverPage";#N/A,#N/A,TRUE,"Gas";#N/A,#N/A,TRUE,"Power";#N/A,#N/A,TRUE,"Historical DJ Mthly Prices"}</definedName>
    <definedName name="wrn.Fundamental._1" hidden="1">{#N/A,#N/A,TRUE,"CoverPage";#N/A,#N/A,TRUE,"Gas";#N/A,#N/A,TRUE,"Power";#N/A,#N/A,TRUE,"Historical DJ Mthly Prices"}</definedName>
    <definedName name="wrn.Fundamental._2" hidden="1">{#N/A,#N/A,TRUE,"CoverPage";#N/A,#N/A,TRUE,"Gas";#N/A,#N/A,TRUE,"Power";#N/A,#N/A,TRUE,"Historical DJ Mthly Prices"}</definedName>
    <definedName name="wrn.Fundamental._3" hidden="1">{#N/A,#N/A,TRUE,"CoverPage";#N/A,#N/A,TRUE,"Gas";#N/A,#N/A,TRUE,"Power";#N/A,#N/A,TRUE,"Historical DJ Mthly Prices"}</definedName>
    <definedName name="wrn.Incentive._.Overhead." hidden="1">{#N/A,#N/A,FALSE,"Coversheet";#N/A,#N/A,FALSE,"QA"}</definedName>
    <definedName name="wrn.Incentive._.Overhead._1" hidden="1">{#N/A,#N/A,FALSE,"Coversheet";#N/A,#N/A,FALSE,"QA"}</definedName>
    <definedName name="wrn.Incentive._.Overhead._2" hidden="1">{#N/A,#N/A,FALSE,"Coversheet";#N/A,#N/A,FALSE,"QA"}</definedName>
    <definedName name="wrn.Incentive._.Overhead._3" hidden="1">{#N/A,#N/A,FALSE,"Coversheet";#N/A,#N/A,FALSE,"QA"}</definedName>
    <definedName name="wrn.limit_reports." hidden="1">{#N/A,#N/A,FALSE,"Schedule F";#N/A,#N/A,FALSE,"Schedule G"}</definedName>
    <definedName name="wrn.limit_reports._1" hidden="1">{#N/A,#N/A,FALSE,"Schedule F";#N/A,#N/A,FALSE,"Schedule G"}</definedName>
    <definedName name="wrn.limit_reports._2" hidden="1">{#N/A,#N/A,FALSE,"Schedule F";#N/A,#N/A,FALSE,"Schedule G"}</definedName>
    <definedName name="wrn.limit_reports._3" hidden="1">{#N/A,#N/A,FALSE,"Schedule F";#N/A,#N/A,FALSE,"Schedule G"}</definedName>
    <definedName name="wrn.MARGIN_WO_QTR." hidden="1">{#N/A,#N/A,FALSE,"Month ";#N/A,#N/A,FALSE,"YTD";#N/A,#N/A,FALSE,"12 mo ended"}</definedName>
    <definedName name="wrn.MARGIN_WO_QTR._1" hidden="1">{#N/A,#N/A,FALSE,"Month ";#N/A,#N/A,FALSE,"YTD";#N/A,#N/A,FALSE,"12 mo ended"}</definedName>
    <definedName name="wrn.MARGIN_WO_QTR._2" hidden="1">{#N/A,#N/A,FALSE,"Month ";#N/A,#N/A,FALSE,"YTD";#N/A,#N/A,FALSE,"12 mo ended"}</definedName>
    <definedName name="wrn.MARGIN_WO_QTR._3" hidden="1">{#N/A,#N/A,FALSE,"Month ";#N/A,#N/A,FALSE,"YTD";#N/A,#N/A,FALSE,"12 mo ended"}</definedName>
    <definedName name="wrn.Municipal._.Reports." hidden="1">{#N/A,#N/A,FALSE,"Bonney Lake";#N/A,#N/A,FALSE,"Bothell";#N/A,#N/A,FALSE,"Bremerton";#N/A,#N/A,FALSE,"Carnation";#N/A,#N/A,FALSE,"Cle Elum";#N/A,#N/A,FALSE,"Clyde Hill";#N/A,#N/A,FALSE,"Coupeville";#N/A,#N/A,FALSE,"Des Moines";#N/A,#N/A,FALSE,"Enumclaw";#N/A,#N/A,FALSE,"Federal Way";#N/A,#N/A,FALSE,"Ferndale";#N/A,#N/A,FALSE,"Kent";#N/A,#N/A,FALSE,"Lacey";#N/A,#N/A,FALSE,"Mount Vernon";#N/A,#N/A,FALSE,"Oak Harbor";#N/A,#N/A,FALSE,"Redmond";#N/A,#N/A,FALSE,"Renton";#N/A,#N/A,FALSE,"Tenino"}</definedName>
    <definedName name="wrn.Municipal._.Reports._1" hidden="1">{#N/A,#N/A,FALSE,"Bonney Lake";#N/A,#N/A,FALSE,"Bothell";#N/A,#N/A,FALSE,"Bremerton";#N/A,#N/A,FALSE,"Carnation";#N/A,#N/A,FALSE,"Cle Elum";#N/A,#N/A,FALSE,"Clyde Hill";#N/A,#N/A,FALSE,"Coupeville";#N/A,#N/A,FALSE,"Des Moines";#N/A,#N/A,FALSE,"Enumclaw";#N/A,#N/A,FALSE,"Federal Way";#N/A,#N/A,FALSE,"Ferndale";#N/A,#N/A,FALSE,"Kent";#N/A,#N/A,FALSE,"Lacey";#N/A,#N/A,FALSE,"Mount Vernon";#N/A,#N/A,FALSE,"Oak Harbor";#N/A,#N/A,FALSE,"Redmond";#N/A,#N/A,FALSE,"Renton";#N/A,#N/A,FALSE,"Tenino"}</definedName>
    <definedName name="wrn.Municipal._.Reports._2" hidden="1">{#N/A,#N/A,FALSE,"Bonney Lake";#N/A,#N/A,FALSE,"Bothell";#N/A,#N/A,FALSE,"Bremerton";#N/A,#N/A,FALSE,"Carnation";#N/A,#N/A,FALSE,"Cle Elum";#N/A,#N/A,FALSE,"Clyde Hill";#N/A,#N/A,FALSE,"Coupeville";#N/A,#N/A,FALSE,"Des Moines";#N/A,#N/A,FALSE,"Enumclaw";#N/A,#N/A,FALSE,"Federal Way";#N/A,#N/A,FALSE,"Ferndale";#N/A,#N/A,FALSE,"Kent";#N/A,#N/A,FALSE,"Lacey";#N/A,#N/A,FALSE,"Mount Vernon";#N/A,#N/A,FALSE,"Oak Harbor";#N/A,#N/A,FALSE,"Redmond";#N/A,#N/A,FALSE,"Renton";#N/A,#N/A,FALSE,"Tenino"}</definedName>
    <definedName name="wrn.Municipal._.Reports._3" hidden="1">{#N/A,#N/A,FALSE,"Bonney Lake";#N/A,#N/A,FALSE,"Bothell";#N/A,#N/A,FALSE,"Bremerton";#N/A,#N/A,FALSE,"Carnation";#N/A,#N/A,FALSE,"Cle Elum";#N/A,#N/A,FALSE,"Clyde Hill";#N/A,#N/A,FALSE,"Coupeville";#N/A,#N/A,FALSE,"Des Moines";#N/A,#N/A,FALSE,"Enumclaw";#N/A,#N/A,FALSE,"Federal Way";#N/A,#N/A,FALSE,"Ferndale";#N/A,#N/A,FALSE,"Kent";#N/A,#N/A,FALSE,"Lacey";#N/A,#N/A,FALSE,"Mount Vernon";#N/A,#N/A,FALSE,"Oak Harbor";#N/A,#N/A,FALSE,"Redmond";#N/A,#N/A,FALSE,"Renton";#N/A,#N/A,FALSE,"Tenino"}</definedName>
    <definedName name="wrn.rates." hidden="1">{"dsino7b2",#N/A,FALSE,"RATES";"nrno7b2",#N/A,FALSE,"RATES";"pfno7b2",#N/A,FALSE,"RATES"}</definedName>
    <definedName name="wrn.WPRDSAll." hidden="1">{"COSA06FY97",#N/A,FALSE,"COSA";"COSA06FY98",#N/A,FALSE,"COSA";"COSA06FY99",#N/A,FALSE,"COSA";"COSA06FY00",#N/A,FALSE,"COSA";"COSA06FY01",#N/A,FALSE,"COSA";"COSA08",#N/A,FALSE,"COSA";"COSA09",#N/A,FALSE,"COSA";"COSA11",#N/A,FALSE,"COSA";"RDS01",#N/A,FALSE,"COSA";"RDS02",#N/A,FALSE,"ADJUST1";"RDS04",#N/A,FALSE,"ADJUST1";"RDS05_RDS06",#N/A,FALSE,"ADJUST1";"RDS07",#N/A,FALSE,"ADJUST1";"RDS11",#N/A,FALSE,"ADJUST2";"RDS12",#N/A,FALSE,"ADJUST2";"RDS15",#N/A,FALSE,"ADJUST2";"RDS16",#N/A,FALSE,"ADJUST2";"RDS16B",#N/A,FALSE,"ADJUST2";"RDS17",#N/A,FALSE,"ADJUST2";"RDS18",#N/A,FALSE,"ADJUST2";"RDS20",#N/A,FALSE,"DSI";"RDS21",#N/A,FALSE,"DSI";"RDS22",#N/A,FALSE,"DSI";"RDS23",#N/A,FALSE,"DSI";"RDS24",#N/A,FALSE,"DSI";"rds30_rds31",#N/A,FALSE,"7(b)(2)";"rds32",#N/A,FALSE,"7(b)(2)";"rds33",#N/A,FALSE,"7(b)(2)";"rds34",#N/A,FALSE,"7(b)(2)";"rds34a",#N/A,FALSE,"7(b)(2)";"rds40p1",#N/A,FALSE,"CONTRA";"rds40p2",#N/A,FALSE,"CONTRA";"rds41",#N/A,FALSE,"CONTRA";"rds50",#N/A,FALSE,"7(b)(2)";"rds36",#N/A,FALSE,"7(b)(2)";"rds51",#N/A,FALSE,"RATES";"rds52",#N/A,FALSE,"RATES";"rds60a",#N/A,FALSE,"UNITCOST";"rds60b",#N/A,FALSE,"UNITCOST";"rds61",#N/A,FALSE,"UNITCOST";"rds62",#N/A,FALSE,"UNITCOST";"rds63",#N/A,FALSE,"UNITCOST";"recon01",#N/A,FALSE,"RECON";"recon02",#N/A,FALSE,"RECON";"recon03",#N/A,FALSE,"RECON";"recon04",#N/A,FALSE,"RECON";"resex01_p1",#N/A,FALSE,"RESEX";"resex01_p2",#N/A,FALSE,"RESEX"}</definedName>
    <definedName name="wrn.WPRDSLandscape." hidden="1">{"COSA06FY97",#N/A,FALSE,"COSA";"COSA06FY98",#N/A,FALSE,"COSA";"COSA06FY99",#N/A,FALSE,"COSA";"COSA06FY00",#N/A,FALSE,"COSA";"COSA06FY01",#N/A,FALSE,"COSA";"COSA08",#N/A,FALSE,"COSA";"COSA09",#N/A,FALSE,"COSA";"COSA11",#N/A,FALSE,"COSA";"RDS01",#N/A,FALSE,"COSA";"RDS02",#N/A,FALSE,"ADJUST1";"RDS04",#N/A,FALSE,"ADJUST1";"RDS20",#N/A,FALSE,"DSI";"RDS21",#N/A,FALSE,"DSI";"RDS22",#N/A,FALSE,"DSI";"RDS23",#N/A,FALSE,"DSI";"RDS24",#N/A,FALSE,"DSI";"rds32",#N/A,FALSE,"7(b)(2)";"rds33",#N/A,FALSE,"7(b)(2)";"rds34",#N/A,FALSE,"7(b)(2)";"rds40p1",#N/A,FALSE,"CONTRA";"rds40p2",#N/A,FALSE,"CONTRA";"rds41",#N/A,FALSE,"CONTRA";"rds50",#N/A,FALSE,"7(b)(2)";"rds36",#N/A,FALSE,"7(b)(2)";"rds51",#N/A,FALSE,"RATES";"rds52",#N/A,FALSE,"RATES";"rds63",#N/A,FALSE,"UNITCOST";"recon04",#N/A,FALSE,"RECON";"resex01_p1",#N/A,FALSE,"RESEX";"resex01_p2",#N/A,FALSE,"RESEX"}</definedName>
    <definedName name="wrn.WPRDSPortrait." hidden="1">{"RDS05_RDS06",#N/A,FALSE,"ADJUST1";"RDS07",#N/A,FALSE,"ADJUST1";"RDS11",#N/A,FALSE,"ADJUST2";"RDS12",#N/A,FALSE,"ADJUST2";"RDS15",#N/A,FALSE,"ADJUST2";"RDS16",#N/A,FALSE,"ADJUST2";"RDS16B",#N/A,FALSE,"ADJUST2";"RDS17",#N/A,FALSE,"ADJUST2";"RDS18",#N/A,FALSE,"ADJUST2";"rds30_rds31",#N/A,FALSE,"7(b)(2)";"rds34a",#N/A,FALSE,"7(b)(2)";"rds60a",#N/A,FALSE,"UNITCOST";"rds60b",#N/A,FALSE,"UNITCOST";"rds61",#N/A,FALSE,"UNITCOST";"rds62",#N/A,FALSE,"UNITCOST";"recon01",#N/A,FALSE,"RECON";"recon02",#N/A,FALSE,"RECON";"recon03",#N/A,FALSE,"RECON"}</definedName>
    <definedName name="YAK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274" l="1"/>
  <c r="C96" i="274"/>
  <c r="D25" i="95"/>
  <c r="D23" i="95"/>
  <c r="D21" i="95"/>
  <c r="D20" i="95"/>
  <c r="D19" i="95"/>
  <c r="D18" i="95"/>
  <c r="D16" i="95"/>
  <c r="D15" i="95"/>
  <c r="D14" i="95"/>
  <c r="D13" i="95"/>
  <c r="D11" i="95"/>
  <c r="D10" i="95"/>
  <c r="D9" i="95"/>
  <c r="D8" i="95"/>
  <c r="D6" i="95"/>
  <c r="B136" i="274" l="1"/>
  <c r="C136" i="274"/>
  <c r="D136" i="274"/>
  <c r="E136" i="274"/>
  <c r="P11" i="29"/>
  <c r="A5" i="29"/>
  <c r="G136" i="274" l="1"/>
  <c r="I136" i="274"/>
  <c r="H136" i="274"/>
  <c r="F136" i="274"/>
  <c r="A6" i="29"/>
  <c r="A7" i="29" l="1"/>
  <c r="A8" i="29"/>
  <c r="A9" i="29" l="1"/>
  <c r="A10" i="29"/>
  <c r="A11" i="29" l="1"/>
  <c r="A12" i="29" s="1"/>
  <c r="A13" i="29" l="1"/>
  <c r="A14" i="29"/>
  <c r="A15" i="29"/>
  <c r="A16" i="29"/>
  <c r="A17" i="29" s="1"/>
  <c r="A18" i="29" s="1"/>
  <c r="E42" i="29" l="1"/>
  <c r="F42" i="29"/>
  <c r="G42" i="29"/>
  <c r="H42" i="29"/>
  <c r="I42" i="29"/>
  <c r="J42" i="29"/>
  <c r="K42" i="29"/>
  <c r="L42" i="29"/>
  <c r="M42" i="29"/>
  <c r="N42" i="29"/>
  <c r="I31" i="29"/>
  <c r="H31" i="29"/>
  <c r="G31" i="29"/>
  <c r="F31" i="29"/>
  <c r="E31" i="29"/>
  <c r="I35" i="29"/>
  <c r="H35" i="29"/>
  <c r="G35" i="29"/>
  <c r="F35" i="29"/>
  <c r="E35" i="29"/>
  <c r="N26" i="29"/>
  <c r="M26" i="29"/>
  <c r="L26" i="29"/>
  <c r="M41" i="29" l="1"/>
  <c r="J47" i="29"/>
  <c r="K41" i="29"/>
  <c r="K47" i="29"/>
  <c r="H41" i="29"/>
  <c r="F41" i="29"/>
  <c r="O41" i="29"/>
  <c r="N41" i="29"/>
  <c r="L25" i="29"/>
  <c r="J41" i="29"/>
  <c r="I41" i="29"/>
  <c r="L41" i="29"/>
  <c r="G41" i="29"/>
  <c r="F47" i="29"/>
  <c r="J31" i="29"/>
  <c r="I47" i="29"/>
  <c r="G47" i="29"/>
  <c r="K31" i="29"/>
  <c r="L31" i="29"/>
  <c r="H47" i="29"/>
  <c r="M31" i="29"/>
  <c r="N31" i="29"/>
  <c r="O31" i="29"/>
  <c r="O35" i="29"/>
  <c r="E41" i="29"/>
  <c r="O26" i="29"/>
  <c r="O25" i="29"/>
  <c r="N35" i="29"/>
  <c r="E47" i="29"/>
  <c r="E25" i="29"/>
  <c r="F25" i="29"/>
  <c r="G25" i="29"/>
  <c r="J25" i="29"/>
  <c r="O47" i="29"/>
  <c r="K25" i="29"/>
  <c r="N47" i="29"/>
  <c r="M25" i="29"/>
  <c r="K35" i="29"/>
  <c r="M47" i="29"/>
  <c r="H25" i="29"/>
  <c r="I25" i="29"/>
  <c r="J35" i="29"/>
  <c r="O42" i="29"/>
  <c r="N25" i="29"/>
  <c r="L35" i="29"/>
  <c r="L47" i="29"/>
  <c r="M35" i="29"/>
  <c r="E26" i="29"/>
  <c r="F26" i="29"/>
  <c r="G26" i="29"/>
  <c r="H26" i="29"/>
  <c r="I26" i="29"/>
  <c r="J26" i="29"/>
  <c r="K26" i="29"/>
  <c r="J9" i="29" l="1"/>
  <c r="K9" i="29"/>
  <c r="L9" i="29"/>
  <c r="M9" i="29"/>
  <c r="N9" i="29"/>
  <c r="O9" i="29"/>
  <c r="E10" i="29"/>
  <c r="I10" i="29"/>
  <c r="J10" i="29"/>
  <c r="K10" i="29"/>
  <c r="N19" i="29"/>
  <c r="O19" i="29"/>
  <c r="B141" i="3"/>
  <c r="B113" i="3"/>
  <c r="H52" i="3"/>
  <c r="G52" i="3"/>
  <c r="F52" i="3"/>
  <c r="E52" i="3"/>
  <c r="D52" i="3"/>
  <c r="C52" i="3"/>
  <c r="C169" i="3" s="1"/>
  <c r="B52" i="3"/>
  <c r="B53" i="3"/>
  <c r="B54" i="3"/>
  <c r="B55" i="3"/>
  <c r="B56" i="3"/>
  <c r="B169" i="3"/>
  <c r="B170" i="3"/>
  <c r="B171" i="3"/>
  <c r="B172" i="3"/>
  <c r="B173" i="3"/>
  <c r="B167" i="3"/>
  <c r="B168" i="3"/>
  <c r="B152" i="3"/>
  <c r="B153" i="3"/>
  <c r="B154" i="3"/>
  <c r="B155" i="3"/>
  <c r="B156" i="3"/>
  <c r="B157" i="3"/>
  <c r="B158" i="3"/>
  <c r="B159" i="3"/>
  <c r="B160" i="3"/>
  <c r="B161" i="3"/>
  <c r="B162" i="3"/>
  <c r="B163" i="3"/>
  <c r="B164" i="3"/>
  <c r="B165" i="3"/>
  <c r="B166" i="3"/>
  <c r="B151" i="3"/>
  <c r="I9" i="29" l="1"/>
  <c r="I21" i="29" s="1"/>
  <c r="H9" i="29"/>
  <c r="P12" i="29"/>
  <c r="F9" i="29"/>
  <c r="P8" i="29"/>
  <c r="E9" i="29"/>
  <c r="E21" i="29" s="1"/>
  <c r="P14" i="29"/>
  <c r="P7" i="29"/>
  <c r="D9" i="29"/>
  <c r="G9" i="29"/>
  <c r="G21" i="29" s="1"/>
  <c r="K15" i="29"/>
  <c r="L10" i="29"/>
  <c r="F21" i="29"/>
  <c r="K19" i="29"/>
  <c r="L19" i="29"/>
  <c r="J19" i="29"/>
  <c r="L21" i="29"/>
  <c r="G141" i="3"/>
  <c r="O21" i="29"/>
  <c r="M10" i="29"/>
  <c r="M21" i="29"/>
  <c r="N10" i="29"/>
  <c r="N21" i="29"/>
  <c r="G113" i="3"/>
  <c r="G15" i="29"/>
  <c r="F15" i="29"/>
  <c r="E15" i="29"/>
  <c r="I19" i="29"/>
  <c r="H10" i="29"/>
  <c r="H19" i="29"/>
  <c r="G10" i="29"/>
  <c r="G19" i="29"/>
  <c r="F10" i="29"/>
  <c r="H21" i="29"/>
  <c r="E19" i="29"/>
  <c r="K21" i="29"/>
  <c r="M19" i="29"/>
  <c r="O15" i="29"/>
  <c r="J15" i="29"/>
  <c r="N15" i="29"/>
  <c r="O10" i="29"/>
  <c r="M15" i="29"/>
  <c r="H15" i="29"/>
  <c r="F19" i="29"/>
  <c r="J21" i="29"/>
  <c r="I15" i="29"/>
  <c r="L15" i="29"/>
  <c r="H141" i="3"/>
  <c r="H169" i="3"/>
  <c r="G169" i="3"/>
  <c r="F113" i="3"/>
  <c r="G24" i="3"/>
  <c r="F169" i="3"/>
  <c r="E169" i="3"/>
  <c r="E113" i="3"/>
  <c r="C113" i="3"/>
  <c r="C141" i="3"/>
  <c r="H113" i="3"/>
  <c r="D141" i="3"/>
  <c r="D169" i="3"/>
  <c r="F141" i="3"/>
  <c r="E141" i="3"/>
  <c r="I52" i="3"/>
  <c r="H24" i="3" l="1"/>
  <c r="J136" i="274"/>
  <c r="P9" i="29"/>
  <c r="I141" i="3"/>
  <c r="I169" i="3"/>
  <c r="C34" i="3"/>
  <c r="D34" i="3"/>
  <c r="E34" i="3"/>
  <c r="F34" i="3"/>
  <c r="G34" i="3"/>
  <c r="H34" i="3"/>
  <c r="C35" i="3"/>
  <c r="D35" i="3"/>
  <c r="E35" i="3"/>
  <c r="F35" i="3"/>
  <c r="G35" i="3"/>
  <c r="H35" i="3"/>
  <c r="C48" i="3"/>
  <c r="D48" i="3"/>
  <c r="E48" i="3"/>
  <c r="F48" i="3"/>
  <c r="G48" i="3"/>
  <c r="H48" i="3"/>
  <c r="C50" i="3"/>
  <c r="D50" i="3"/>
  <c r="E50" i="3"/>
  <c r="F50" i="3"/>
  <c r="G50" i="3"/>
  <c r="H50" i="3"/>
  <c r="K136" i="274" l="1"/>
  <c r="O37" i="29" l="1"/>
  <c r="E37" i="29"/>
  <c r="F37" i="29"/>
  <c r="G37" i="29"/>
  <c r="H37" i="29"/>
  <c r="I37" i="29"/>
  <c r="N51" i="29"/>
  <c r="J53" i="29" l="1"/>
  <c r="N37" i="29"/>
  <c r="J37" i="29"/>
  <c r="K53" i="29"/>
  <c r="L37" i="29"/>
  <c r="L53" i="29"/>
  <c r="M37" i="29"/>
  <c r="K37" i="29"/>
  <c r="O51" i="29"/>
  <c r="M51" i="29"/>
  <c r="M53" i="29"/>
  <c r="N53" i="29"/>
  <c r="G53" i="29"/>
  <c r="H51" i="29"/>
  <c r="F53" i="29"/>
  <c r="K51" i="29"/>
  <c r="J51" i="29"/>
  <c r="H53" i="29"/>
  <c r="I51" i="29"/>
  <c r="G51" i="29"/>
  <c r="E53" i="29"/>
  <c r="I53" i="29"/>
  <c r="F51" i="29"/>
  <c r="O53" i="29"/>
  <c r="L51" i="29"/>
  <c r="E51" i="29"/>
  <c r="D29" i="95"/>
  <c r="D27" i="95"/>
  <c r="D42" i="95"/>
  <c r="D41" i="95"/>
  <c r="D40" i="95"/>
  <c r="D39" i="95"/>
  <c r="D37" i="95"/>
  <c r="D36" i="95"/>
  <c r="D35" i="95"/>
  <c r="D34" i="95"/>
  <c r="D32" i="95"/>
  <c r="C25" i="92"/>
  <c r="C24" i="92"/>
  <c r="C50" i="92"/>
  <c r="C23" i="92"/>
  <c r="C118" i="274"/>
  <c r="D118" i="274"/>
  <c r="E118" i="274"/>
  <c r="C119" i="274"/>
  <c r="D119" i="274"/>
  <c r="E120" i="274"/>
  <c r="E121" i="274"/>
  <c r="E122" i="274"/>
  <c r="C123" i="274"/>
  <c r="D123" i="274"/>
  <c r="E123" i="274"/>
  <c r="C124" i="274"/>
  <c r="D124" i="274"/>
  <c r="E124" i="274"/>
  <c r="C127" i="274"/>
  <c r="D127" i="274"/>
  <c r="E127" i="274"/>
  <c r="C128" i="274"/>
  <c r="D128" i="274"/>
  <c r="E128" i="274"/>
  <c r="C129" i="274"/>
  <c r="D129" i="274"/>
  <c r="E129" i="274"/>
  <c r="C130" i="274"/>
  <c r="D134" i="274"/>
  <c r="C135" i="274"/>
  <c r="D135" i="274"/>
  <c r="C137" i="274"/>
  <c r="D137" i="274"/>
  <c r="E137" i="274"/>
  <c r="E139" i="274"/>
  <c r="C140" i="274"/>
  <c r="D140" i="274"/>
  <c r="E140" i="274"/>
  <c r="D120" i="274" l="1"/>
  <c r="C122" i="274"/>
  <c r="E134" i="274"/>
  <c r="C134" i="274"/>
  <c r="F134" i="274" s="1"/>
  <c r="D122" i="274"/>
  <c r="F122" i="274" s="1"/>
  <c r="D133" i="274"/>
  <c r="D139" i="274"/>
  <c r="C139" i="274"/>
  <c r="F139" i="274" s="1"/>
  <c r="C132" i="274"/>
  <c r="C138" i="274"/>
  <c r="F138" i="274" s="1"/>
  <c r="E131" i="274"/>
  <c r="C121" i="274"/>
  <c r="C131" i="274"/>
  <c r="F131" i="274" s="1"/>
  <c r="E125" i="274"/>
  <c r="E132" i="274"/>
  <c r="D132" i="274"/>
  <c r="F132" i="274" s="1"/>
  <c r="D121" i="274"/>
  <c r="D126" i="274"/>
  <c r="C126" i="274"/>
  <c r="C120" i="274"/>
  <c r="F120" i="274" s="1"/>
  <c r="E133" i="274"/>
  <c r="C133" i="274"/>
  <c r="E138" i="274"/>
  <c r="D138" i="274"/>
  <c r="E126" i="274"/>
  <c r="D131" i="274"/>
  <c r="E130" i="274"/>
  <c r="D125" i="274"/>
  <c r="E135" i="274"/>
  <c r="F135" i="274" s="1"/>
  <c r="D130" i="274"/>
  <c r="C125" i="274"/>
  <c r="E119" i="274"/>
  <c r="F119" i="274" s="1"/>
  <c r="F137" i="274"/>
  <c r="F118" i="274"/>
  <c r="F123" i="274"/>
  <c r="F128" i="274"/>
  <c r="F124" i="274"/>
  <c r="F140" i="274"/>
  <c r="F127" i="274"/>
  <c r="F129" i="274"/>
  <c r="F125" i="274" l="1"/>
  <c r="F130" i="274"/>
  <c r="F133" i="274"/>
  <c r="F126" i="274"/>
  <c r="F121" i="274"/>
  <c r="F36" i="5"/>
  <c r="E49" i="14" l="1"/>
  <c r="D25" i="14"/>
  <c r="E37" i="14"/>
  <c r="D37" i="214" l="1"/>
  <c r="G39" i="214" s="1"/>
  <c r="D41" i="214" l="1"/>
  <c r="D47" i="214"/>
  <c r="D48" i="214"/>
  <c r="D42" i="214"/>
  <c r="G11" i="92" l="1"/>
  <c r="G12" i="92"/>
  <c r="G10" i="92"/>
  <c r="E50" i="14" l="1"/>
  <c r="B47" i="92"/>
  <c r="B37" i="92"/>
  <c r="E27" i="14" l="1"/>
  <c r="P34" i="29"/>
  <c r="O63" i="29"/>
  <c r="I44" i="134"/>
  <c r="E45" i="134"/>
  <c r="D43" i="134"/>
  <c r="H42" i="134"/>
  <c r="G45" i="5"/>
  <c r="F44" i="134"/>
  <c r="D44" i="134"/>
  <c r="I41" i="134"/>
  <c r="H41" i="134"/>
  <c r="G42" i="134"/>
  <c r="E45" i="5"/>
  <c r="K63" i="29"/>
  <c r="J64" i="30"/>
  <c r="G65" i="30"/>
  <c r="I65" i="30"/>
  <c r="L66" i="30"/>
  <c r="N66" i="30"/>
  <c r="D64" i="30"/>
  <c r="G34" i="30"/>
  <c r="H34" i="30"/>
  <c r="G35" i="30"/>
  <c r="K35" i="30"/>
  <c r="L35" i="30"/>
  <c r="M36" i="30"/>
  <c r="D35" i="30"/>
  <c r="D34" i="30"/>
  <c r="H76" i="29"/>
  <c r="N76" i="29"/>
  <c r="D71" i="29"/>
  <c r="P50" i="29"/>
  <c r="F71" i="29"/>
  <c r="H71" i="29"/>
  <c r="M71" i="29"/>
  <c r="N71" i="29"/>
  <c r="P69" i="29"/>
  <c r="P30" i="29"/>
  <c r="J59" i="29"/>
  <c r="D59" i="29"/>
  <c r="D41" i="29"/>
  <c r="D53" i="29" s="1"/>
  <c r="D42" i="29" l="1"/>
  <c r="H45" i="134"/>
  <c r="F42" i="134"/>
  <c r="D41" i="134"/>
  <c r="D39" i="134"/>
  <c r="F63" i="29" l="1"/>
  <c r="P18" i="29"/>
  <c r="B144" i="274"/>
  <c r="B140" i="274"/>
  <c r="B139" i="274"/>
  <c r="B138" i="274"/>
  <c r="B137" i="274"/>
  <c r="B135" i="274"/>
  <c r="B134" i="274"/>
  <c r="B133" i="274"/>
  <c r="B132" i="274"/>
  <c r="B131" i="274"/>
  <c r="B130" i="274"/>
  <c r="B129" i="274"/>
  <c r="B128" i="274"/>
  <c r="B127" i="274"/>
  <c r="B126" i="274"/>
  <c r="B125" i="274"/>
  <c r="B124" i="274"/>
  <c r="B123" i="274"/>
  <c r="B122" i="274"/>
  <c r="B121" i="274"/>
  <c r="B120" i="274"/>
  <c r="B119" i="274"/>
  <c r="B118" i="274"/>
  <c r="B115" i="274"/>
  <c r="K102" i="274"/>
  <c r="K101" i="274"/>
  <c r="F86" i="274"/>
  <c r="F85" i="274"/>
  <c r="F83" i="274"/>
  <c r="F82" i="274"/>
  <c r="I81" i="274"/>
  <c r="E81" i="274" s="1"/>
  <c r="H81" i="274"/>
  <c r="D81" i="274" s="1"/>
  <c r="G81" i="274"/>
  <c r="C81" i="274" s="1"/>
  <c r="G77" i="274"/>
  <c r="I94" i="274"/>
  <c r="E94" i="274" s="1"/>
  <c r="F16" i="92"/>
  <c r="G39" i="134"/>
  <c r="F43" i="134"/>
  <c r="G41" i="134"/>
  <c r="F39" i="134"/>
  <c r="I39" i="134"/>
  <c r="B4" i="89"/>
  <c r="D44" i="5"/>
  <c r="E44" i="5"/>
  <c r="F44" i="5"/>
  <c r="G44" i="5"/>
  <c r="D45" i="5"/>
  <c r="F45" i="5"/>
  <c r="D46" i="5"/>
  <c r="E46" i="5"/>
  <c r="G46" i="5"/>
  <c r="H46" i="5"/>
  <c r="D47" i="5"/>
  <c r="E47" i="5"/>
  <c r="G47" i="5"/>
  <c r="H47" i="5"/>
  <c r="C44" i="5"/>
  <c r="C45" i="5"/>
  <c r="C46" i="5"/>
  <c r="C47" i="5"/>
  <c r="A5" i="30"/>
  <c r="E66" i="30"/>
  <c r="I66" i="30"/>
  <c r="M66" i="30"/>
  <c r="F64" i="30"/>
  <c r="N64" i="30"/>
  <c r="D65" i="30"/>
  <c r="E65" i="30"/>
  <c r="F65" i="30"/>
  <c r="G57" i="30"/>
  <c r="J65" i="30"/>
  <c r="K57" i="30"/>
  <c r="L65" i="30"/>
  <c r="M65" i="30"/>
  <c r="N65" i="30"/>
  <c r="O57" i="30"/>
  <c r="D66" i="30"/>
  <c r="F66" i="30"/>
  <c r="G58" i="30"/>
  <c r="J66" i="30"/>
  <c r="K58" i="30"/>
  <c r="O58" i="30"/>
  <c r="E62" i="30"/>
  <c r="G64" i="30"/>
  <c r="H64" i="30"/>
  <c r="I64" i="30"/>
  <c r="K64" i="30"/>
  <c r="M64" i="30"/>
  <c r="O64" i="30"/>
  <c r="D62" i="30"/>
  <c r="E56" i="30"/>
  <c r="F56" i="30"/>
  <c r="G56" i="30"/>
  <c r="J56" i="30"/>
  <c r="K56" i="30"/>
  <c r="L56" i="30"/>
  <c r="M56" i="30"/>
  <c r="N56" i="30"/>
  <c r="E57" i="30"/>
  <c r="F57" i="30"/>
  <c r="I57" i="30"/>
  <c r="J57" i="30"/>
  <c r="L57" i="30"/>
  <c r="M57" i="30"/>
  <c r="N57" i="30"/>
  <c r="E58" i="30"/>
  <c r="F58" i="30"/>
  <c r="I58" i="30"/>
  <c r="J58" i="30"/>
  <c r="L58" i="30"/>
  <c r="M58" i="30"/>
  <c r="N58" i="30"/>
  <c r="D58" i="30"/>
  <c r="D57" i="30"/>
  <c r="D56" i="30"/>
  <c r="I62" i="30"/>
  <c r="N62" i="30"/>
  <c r="J62" i="30"/>
  <c r="F62" i="30"/>
  <c r="D63" i="29"/>
  <c r="D26" i="29"/>
  <c r="D25" i="29"/>
  <c r="D37" i="29" s="1"/>
  <c r="N63" i="29"/>
  <c r="M63" i="29"/>
  <c r="L63" i="29"/>
  <c r="J63" i="29"/>
  <c r="I63" i="29"/>
  <c r="H63" i="29"/>
  <c r="E63" i="29"/>
  <c r="P43" i="29"/>
  <c r="I42" i="134"/>
  <c r="H43" i="134"/>
  <c r="I43" i="134"/>
  <c r="I45" i="134"/>
  <c r="H57" i="5"/>
  <c r="D42" i="134"/>
  <c r="E36" i="134"/>
  <c r="D31" i="5" s="1"/>
  <c r="E43" i="134"/>
  <c r="G43" i="134"/>
  <c r="E44" i="134"/>
  <c r="G44" i="134"/>
  <c r="D45" i="134"/>
  <c r="F45" i="134"/>
  <c r="G45" i="134"/>
  <c r="E41" i="134"/>
  <c r="F41" i="134"/>
  <c r="E39" i="134"/>
  <c r="H39" i="134"/>
  <c r="D57" i="5"/>
  <c r="D64" i="5" s="1"/>
  <c r="E57" i="5"/>
  <c r="E64" i="5" s="1"/>
  <c r="F57" i="5"/>
  <c r="G57" i="5"/>
  <c r="G64" i="5" s="1"/>
  <c r="C57" i="5"/>
  <c r="C72" i="5" s="1"/>
  <c r="C56" i="5"/>
  <c r="C62" i="5" s="1"/>
  <c r="B32" i="5"/>
  <c r="B33" i="5"/>
  <c r="B34" i="5"/>
  <c r="B35" i="5"/>
  <c r="B36" i="5"/>
  <c r="B37" i="5"/>
  <c r="B38" i="5"/>
  <c r="B31" i="5"/>
  <c r="G36" i="134"/>
  <c r="F31" i="5" s="1"/>
  <c r="F26" i="134"/>
  <c r="D26" i="134"/>
  <c r="C20" i="5" s="1"/>
  <c r="E100" i="274"/>
  <c r="P7" i="30" l="1"/>
  <c r="H58" i="30"/>
  <c r="P58" i="30" s="1"/>
  <c r="H57" i="30"/>
  <c r="H56" i="30"/>
  <c r="E79" i="274"/>
  <c r="E96" i="274"/>
  <c r="I77" i="274"/>
  <c r="E77" i="274" s="1"/>
  <c r="F46" i="134"/>
  <c r="D46" i="134"/>
  <c r="C77" i="274"/>
  <c r="H77" i="274"/>
  <c r="D77" i="274" s="1"/>
  <c r="H88" i="274"/>
  <c r="D88" i="274" s="1"/>
  <c r="I88" i="274"/>
  <c r="E88" i="274" s="1"/>
  <c r="G94" i="274"/>
  <c r="H94" i="274"/>
  <c r="D94" i="274" s="1"/>
  <c r="G88" i="274"/>
  <c r="O56" i="30"/>
  <c r="I56" i="30"/>
  <c r="H65" i="30"/>
  <c r="M62" i="30"/>
  <c r="L62" i="30"/>
  <c r="O62" i="30"/>
  <c r="E64" i="30"/>
  <c r="H66" i="30"/>
  <c r="O65" i="30"/>
  <c r="K65" i="30"/>
  <c r="L64" i="30"/>
  <c r="O66" i="30"/>
  <c r="K66" i="30"/>
  <c r="G66" i="30"/>
  <c r="H62" i="30"/>
  <c r="P40" i="29"/>
  <c r="E72" i="5"/>
  <c r="C34" i="134"/>
  <c r="H36" i="134"/>
  <c r="G31" i="5" s="1"/>
  <c r="H44" i="134"/>
  <c r="E42" i="134"/>
  <c r="F36" i="134"/>
  <c r="E31" i="5" s="1"/>
  <c r="D36" i="134"/>
  <c r="C31" i="5" s="1"/>
  <c r="D72" i="5"/>
  <c r="C64" i="5"/>
  <c r="C70" i="5"/>
  <c r="G63" i="29"/>
  <c r="J81" i="274"/>
  <c r="F81" i="274"/>
  <c r="K62" i="30"/>
  <c r="G62" i="30"/>
  <c r="P60" i="30"/>
  <c r="P57" i="30"/>
  <c r="P61" i="30"/>
  <c r="P59" i="30"/>
  <c r="P39" i="29"/>
  <c r="C32" i="134"/>
  <c r="I36" i="134"/>
  <c r="H31" i="5" s="1"/>
  <c r="C33" i="134"/>
  <c r="C35" i="134"/>
  <c r="H72" i="5"/>
  <c r="H64" i="5"/>
  <c r="C29" i="134"/>
  <c r="C31" i="134"/>
  <c r="I57" i="5"/>
  <c r="O67" i="30" l="1"/>
  <c r="P66" i="30"/>
  <c r="E30" i="134"/>
  <c r="F30" i="134"/>
  <c r="G30" i="134"/>
  <c r="H30" i="134"/>
  <c r="I30" i="134"/>
  <c r="P65" i="30"/>
  <c r="P64" i="30"/>
  <c r="F88" i="274"/>
  <c r="J94" i="274"/>
  <c r="J77" i="274"/>
  <c r="F77" i="274"/>
  <c r="D30" i="134"/>
  <c r="C88" i="274"/>
  <c r="F94" i="274"/>
  <c r="J88" i="274"/>
  <c r="C94" i="274"/>
  <c r="E46" i="134"/>
  <c r="C42" i="134"/>
  <c r="P56" i="30"/>
  <c r="I60" i="274" s="1"/>
  <c r="E60" i="274" s="1"/>
  <c r="I57" i="274"/>
  <c r="E57" i="274" s="1"/>
  <c r="I64" i="274"/>
  <c r="E64" i="274" s="1"/>
  <c r="I55" i="274"/>
  <c r="E55" i="274" s="1"/>
  <c r="I62" i="274"/>
  <c r="E62" i="274" s="1"/>
  <c r="P62" i="30"/>
  <c r="P42" i="29"/>
  <c r="I64" i="5"/>
  <c r="D65" i="5" s="1"/>
  <c r="C36" i="134"/>
  <c r="A8" i="274"/>
  <c r="P41" i="29"/>
  <c r="I72" i="5"/>
  <c r="H73" i="5" s="1"/>
  <c r="P67" i="30" l="1"/>
  <c r="I53" i="274"/>
  <c r="E53" i="274" s="1"/>
  <c r="F65" i="5"/>
  <c r="H65" i="5"/>
  <c r="C65" i="5"/>
  <c r="E65" i="5"/>
  <c r="G65" i="5"/>
  <c r="I19" i="274"/>
  <c r="E19" i="274" s="1"/>
  <c r="I16" i="274"/>
  <c r="E16" i="274" s="1"/>
  <c r="C30" i="134"/>
  <c r="A11" i="274"/>
  <c r="D73" i="5"/>
  <c r="F73" i="5"/>
  <c r="E73" i="5"/>
  <c r="G73" i="5"/>
  <c r="C73" i="5"/>
  <c r="F57" i="29"/>
  <c r="J57" i="29"/>
  <c r="N57" i="29"/>
  <c r="D57" i="29"/>
  <c r="I65" i="5" l="1"/>
  <c r="O57" i="29"/>
  <c r="K57" i="29"/>
  <c r="G57" i="29"/>
  <c r="M57" i="29"/>
  <c r="I57" i="29"/>
  <c r="E57" i="29"/>
  <c r="L57" i="29"/>
  <c r="H57" i="29"/>
  <c r="A14" i="274"/>
  <c r="I73" i="5"/>
  <c r="A15" i="274" l="1"/>
  <c r="H45" i="5"/>
  <c r="F15" i="92" l="1"/>
  <c r="A18" i="274"/>
  <c r="H44" i="5" l="1"/>
  <c r="E6" i="138" s="1"/>
  <c r="A21" i="274"/>
  <c r="A28" i="274" l="1"/>
  <c r="A35" i="274" l="1"/>
  <c r="I129" i="274"/>
  <c r="H129" i="274"/>
  <c r="H125" i="274"/>
  <c r="I125" i="274"/>
  <c r="I126" i="274"/>
  <c r="H126" i="274"/>
  <c r="G124" i="274"/>
  <c r="G14" i="3"/>
  <c r="J124" i="274" s="1"/>
  <c r="G19" i="3"/>
  <c r="J138" i="274" s="1"/>
  <c r="G138" i="274"/>
  <c r="H122" i="274"/>
  <c r="I122" i="274"/>
  <c r="G22" i="3"/>
  <c r="J118" i="274" s="1"/>
  <c r="G118" i="274"/>
  <c r="I137" i="274"/>
  <c r="H137" i="274"/>
  <c r="G27" i="3"/>
  <c r="G135" i="274"/>
  <c r="G6" i="3"/>
  <c r="G132" i="274"/>
  <c r="H127" i="274"/>
  <c r="I127" i="274"/>
  <c r="G21" i="3"/>
  <c r="G123" i="274"/>
  <c r="E29" i="3"/>
  <c r="H118" i="274"/>
  <c r="I121" i="274"/>
  <c r="H121" i="274"/>
  <c r="I132" i="274"/>
  <c r="H132" i="274"/>
  <c r="I123" i="274"/>
  <c r="H123" i="274"/>
  <c r="G122" i="274"/>
  <c r="G12" i="3"/>
  <c r="I120" i="274"/>
  <c r="H120" i="274"/>
  <c r="G11" i="3"/>
  <c r="G120" i="274"/>
  <c r="I119" i="274"/>
  <c r="H119" i="274"/>
  <c r="G130" i="274"/>
  <c r="G8" i="3"/>
  <c r="G16" i="3"/>
  <c r="G128" i="274"/>
  <c r="I124" i="274"/>
  <c r="H124" i="274"/>
  <c r="G133" i="274"/>
  <c r="G20" i="3"/>
  <c r="G23" i="3"/>
  <c r="G131" i="274"/>
  <c r="G139" i="274"/>
  <c r="G17" i="3"/>
  <c r="J139" i="274" s="1"/>
  <c r="G121" i="274"/>
  <c r="G10" i="3"/>
  <c r="G18" i="3"/>
  <c r="J140" i="274" s="1"/>
  <c r="G140" i="274"/>
  <c r="I135" i="274"/>
  <c r="H135" i="274"/>
  <c r="H139" i="274"/>
  <c r="I139" i="274"/>
  <c r="G129" i="274"/>
  <c r="G13" i="3"/>
  <c r="J129" i="274" s="1"/>
  <c r="G119" i="274"/>
  <c r="G9" i="3"/>
  <c r="G26" i="3"/>
  <c r="G134" i="274"/>
  <c r="G15" i="3"/>
  <c r="J127" i="274" s="1"/>
  <c r="G127" i="274"/>
  <c r="I131" i="274"/>
  <c r="H131" i="274"/>
  <c r="G125" i="274"/>
  <c r="G25" i="3"/>
  <c r="I134" i="274"/>
  <c r="H134" i="274"/>
  <c r="G7" i="3"/>
  <c r="J126" i="274" s="1"/>
  <c r="G126" i="274"/>
  <c r="I140" i="274"/>
  <c r="H140" i="274"/>
  <c r="I138" i="274"/>
  <c r="H138" i="274"/>
  <c r="I130" i="274"/>
  <c r="H130" i="274"/>
  <c r="G28" i="3"/>
  <c r="G137" i="274"/>
  <c r="I128" i="274"/>
  <c r="H128" i="274"/>
  <c r="I133" i="274"/>
  <c r="H133" i="274"/>
  <c r="A36" i="274"/>
  <c r="A37" i="274" s="1"/>
  <c r="A38" i="274" s="1"/>
  <c r="A39" i="274" s="1"/>
  <c r="A40" i="274" s="1"/>
  <c r="A42" i="274" s="1"/>
  <c r="A43" i="274" s="1"/>
  <c r="A46" i="274" s="1"/>
  <c r="A49" i="274" s="1"/>
  <c r="J119" i="274" l="1"/>
  <c r="J133" i="274"/>
  <c r="J130" i="274"/>
  <c r="J125" i="274"/>
  <c r="J120" i="274"/>
  <c r="J137" i="274"/>
  <c r="J132" i="274"/>
  <c r="J122" i="274"/>
  <c r="J121" i="274"/>
  <c r="J134" i="274"/>
  <c r="J131" i="274"/>
  <c r="J135" i="274"/>
  <c r="A52" i="274"/>
  <c r="A59" i="274" s="1"/>
  <c r="A66" i="274" s="1"/>
  <c r="A67" i="274" s="1"/>
  <c r="A68" i="274" s="1"/>
  <c r="A69" i="274" s="1"/>
  <c r="A71" i="274" s="1"/>
  <c r="A72" i="274" s="1"/>
  <c r="A73" i="274" s="1"/>
  <c r="A74" i="274" s="1"/>
  <c r="A75" i="274" s="1"/>
  <c r="A76" i="274" s="1"/>
  <c r="A80" i="274" s="1"/>
  <c r="K129" i="274"/>
  <c r="K130" i="274"/>
  <c r="K132" i="274"/>
  <c r="K138" i="274"/>
  <c r="K140" i="274"/>
  <c r="K139" i="274"/>
  <c r="K126" i="274"/>
  <c r="K124" i="274"/>
  <c r="K127" i="274"/>
  <c r="K119" i="274"/>
  <c r="K118" i="274"/>
  <c r="H16" i="3"/>
  <c r="J128" i="274"/>
  <c r="H21" i="3"/>
  <c r="J123" i="274"/>
  <c r="I118" i="274"/>
  <c r="F29" i="3"/>
  <c r="D24" i="214"/>
  <c r="K133" i="274" l="1"/>
  <c r="K134" i="274"/>
  <c r="K121" i="274"/>
  <c r="K120" i="274"/>
  <c r="K122" i="274"/>
  <c r="K125" i="274"/>
  <c r="K137" i="274"/>
  <c r="K135" i="274"/>
  <c r="K131" i="274"/>
  <c r="G26" i="214"/>
  <c r="G27" i="214" s="1"/>
  <c r="A87" i="274"/>
  <c r="K123" i="274"/>
  <c r="K128" i="274"/>
  <c r="H109" i="274"/>
  <c r="D109" i="274" s="1"/>
  <c r="F15" i="138"/>
  <c r="H113" i="274" s="1"/>
  <c r="D113" i="274" s="1"/>
  <c r="F10" i="138"/>
  <c r="G109" i="274"/>
  <c r="A93" i="274" l="1"/>
  <c r="C109" i="274"/>
  <c r="I109" i="274"/>
  <c r="E109" i="274" s="1"/>
  <c r="F16" i="138"/>
  <c r="I113" i="274" s="1"/>
  <c r="E113" i="274" s="1"/>
  <c r="I90" i="274"/>
  <c r="E90" i="274" s="1"/>
  <c r="H90" i="274"/>
  <c r="D90" i="274" s="1"/>
  <c r="G90" i="274"/>
  <c r="I84" i="274"/>
  <c r="E84" i="274" s="1"/>
  <c r="E80" i="274" s="1"/>
  <c r="H84" i="274"/>
  <c r="D84" i="274" s="1"/>
  <c r="D80" i="274" s="1"/>
  <c r="G84" i="274"/>
  <c r="I98" i="274"/>
  <c r="H98" i="274"/>
  <c r="G98" i="274"/>
  <c r="A97" i="274" l="1"/>
  <c r="A101" i="274" s="1"/>
  <c r="A102" i="274" s="1"/>
  <c r="A103" i="274" s="1"/>
  <c r="A104" i="274" s="1"/>
  <c r="F109" i="274"/>
  <c r="J109" i="274"/>
  <c r="D98" i="274"/>
  <c r="C90" i="274"/>
  <c r="F90" i="274"/>
  <c r="J90" i="274"/>
  <c r="C84" i="274"/>
  <c r="C80" i="274" s="1"/>
  <c r="J84" i="274"/>
  <c r="F84" i="274"/>
  <c r="C98" i="274"/>
  <c r="F98" i="274"/>
  <c r="J98" i="274"/>
  <c r="E98" i="274"/>
  <c r="D36" i="214"/>
  <c r="G38" i="214" s="1"/>
  <c r="D31" i="214"/>
  <c r="A107" i="274" l="1"/>
  <c r="F80" i="274"/>
  <c r="A108" i="274" l="1"/>
  <c r="A111" i="274" s="1"/>
  <c r="A112" i="274" s="1"/>
  <c r="A115" i="274" s="1"/>
  <c r="A116" i="274" s="1"/>
  <c r="A117" i="274" s="1"/>
  <c r="A118" i="274" s="1"/>
  <c r="A119" i="274" s="1"/>
  <c r="A120" i="274" s="1"/>
  <c r="A121" i="274" s="1"/>
  <c r="A122" i="274" s="1"/>
  <c r="A123" i="274" s="1"/>
  <c r="A124" i="274" s="1"/>
  <c r="A125" i="274" s="1"/>
  <c r="A126" i="274" s="1"/>
  <c r="A127" i="274" s="1"/>
  <c r="A128" i="274" s="1"/>
  <c r="A129" i="274" s="1"/>
  <c r="A130" i="274" s="1"/>
  <c r="A131" i="274" s="1"/>
  <c r="A132" i="274" s="1"/>
  <c r="A133" i="274" s="1"/>
  <c r="A134" i="274" s="1"/>
  <c r="A135" i="274" s="1"/>
  <c r="D25" i="214"/>
  <c r="A136" i="274" l="1"/>
  <c r="A137" i="274" s="1"/>
  <c r="G28" i="214"/>
  <c r="G29" i="214" s="1"/>
  <c r="G43" i="214"/>
  <c r="D32" i="214"/>
  <c r="A138" i="274" l="1"/>
  <c r="D33" i="214"/>
  <c r="G34" i="214"/>
  <c r="A139" i="274" l="1"/>
  <c r="F9" i="92"/>
  <c r="F13" i="92" s="1"/>
  <c r="G8" i="92"/>
  <c r="A140" i="274" l="1"/>
  <c r="A141" i="274" s="1"/>
  <c r="G6" i="92"/>
  <c r="G7" i="92"/>
  <c r="A142" i="274" l="1"/>
  <c r="A143" i="274" s="1"/>
  <c r="A144" i="274" s="1"/>
  <c r="B43" i="5"/>
  <c r="B44" i="5"/>
  <c r="B45" i="5"/>
  <c r="B46" i="5"/>
  <c r="B47" i="5"/>
  <c r="B48" i="5"/>
  <c r="B49" i="5"/>
  <c r="B42" i="5"/>
  <c r="B21" i="5"/>
  <c r="B22" i="5"/>
  <c r="B23" i="5"/>
  <c r="B24" i="5"/>
  <c r="B25" i="5"/>
  <c r="B26" i="5"/>
  <c r="B27" i="5"/>
  <c r="B20" i="5"/>
  <c r="G18" i="213"/>
  <c r="G16" i="213"/>
  <c r="G17" i="213"/>
  <c r="G19" i="213"/>
  <c r="G105" i="274" l="1"/>
  <c r="H105" i="274"/>
  <c r="I105" i="274"/>
  <c r="O42" i="30"/>
  <c r="D10" i="30"/>
  <c r="E36" i="30"/>
  <c r="N35" i="30"/>
  <c r="F35" i="30"/>
  <c r="O34" i="30"/>
  <c r="M34" i="30"/>
  <c r="L34" i="30"/>
  <c r="K34" i="30"/>
  <c r="J34" i="30"/>
  <c r="I34" i="30"/>
  <c r="E34" i="30"/>
  <c r="E71" i="29"/>
  <c r="G71" i="29"/>
  <c r="I71" i="29"/>
  <c r="J71" i="29"/>
  <c r="K71" i="29"/>
  <c r="L71" i="29"/>
  <c r="O71" i="29"/>
  <c r="F59" i="29"/>
  <c r="G59" i="29"/>
  <c r="K59" i="29"/>
  <c r="N59" i="29"/>
  <c r="E105" i="274" l="1"/>
  <c r="D105" i="274"/>
  <c r="C105" i="274"/>
  <c r="J105" i="274"/>
  <c r="F105" i="274"/>
  <c r="J27" i="30"/>
  <c r="J35" i="30"/>
  <c r="G28" i="30"/>
  <c r="G36" i="30"/>
  <c r="K28" i="30"/>
  <c r="K36" i="30"/>
  <c r="O28" i="30"/>
  <c r="O36" i="30"/>
  <c r="F26" i="30"/>
  <c r="F34" i="30"/>
  <c r="N26" i="30"/>
  <c r="N34" i="30"/>
  <c r="G27" i="30"/>
  <c r="K27" i="30"/>
  <c r="O27" i="30"/>
  <c r="O35" i="30"/>
  <c r="H28" i="30"/>
  <c r="H36" i="30"/>
  <c r="L28" i="30"/>
  <c r="L36" i="30"/>
  <c r="H27" i="30"/>
  <c r="H35" i="30"/>
  <c r="I28" i="30"/>
  <c r="I36" i="30"/>
  <c r="M28" i="30"/>
  <c r="L27" i="30"/>
  <c r="E27" i="30"/>
  <c r="E35" i="30"/>
  <c r="I27" i="30"/>
  <c r="I35" i="30"/>
  <c r="M27" i="30"/>
  <c r="M35" i="30"/>
  <c r="F28" i="30"/>
  <c r="F36" i="30"/>
  <c r="J28" i="30"/>
  <c r="J36" i="30"/>
  <c r="N28" i="30"/>
  <c r="N36" i="30"/>
  <c r="L59" i="29"/>
  <c r="H59" i="29"/>
  <c r="O59" i="29"/>
  <c r="O76" i="29"/>
  <c r="P44" i="29"/>
  <c r="D51" i="29"/>
  <c r="P46" i="29"/>
  <c r="P53" i="29" s="1"/>
  <c r="D47" i="29"/>
  <c r="P47" i="29" s="1"/>
  <c r="M76" i="29"/>
  <c r="I76" i="29"/>
  <c r="E76" i="29"/>
  <c r="M59" i="29"/>
  <c r="I59" i="29"/>
  <c r="E59" i="29"/>
  <c r="P75" i="29"/>
  <c r="P74" i="29"/>
  <c r="D20" i="30"/>
  <c r="G26" i="30"/>
  <c r="G32" i="30"/>
  <c r="K26" i="30"/>
  <c r="K32" i="30"/>
  <c r="O26" i="30"/>
  <c r="O32" i="30"/>
  <c r="P31" i="30"/>
  <c r="E28" i="30"/>
  <c r="D27" i="30"/>
  <c r="P30" i="30"/>
  <c r="H32" i="30"/>
  <c r="H26" i="30"/>
  <c r="L32" i="30"/>
  <c r="L26" i="30"/>
  <c r="E26" i="30"/>
  <c r="E32" i="30"/>
  <c r="I32" i="30"/>
  <c r="I26" i="30"/>
  <c r="M32" i="30"/>
  <c r="M26" i="30"/>
  <c r="F32" i="30"/>
  <c r="F27" i="30"/>
  <c r="N32" i="30"/>
  <c r="N27" i="30"/>
  <c r="D18" i="30"/>
  <c r="J32" i="30"/>
  <c r="J26" i="30"/>
  <c r="K76" i="29"/>
  <c r="G76" i="29"/>
  <c r="J76" i="29"/>
  <c r="F76" i="29"/>
  <c r="P73" i="29"/>
  <c r="G44" i="274" s="1"/>
  <c r="L76" i="29"/>
  <c r="P68" i="29"/>
  <c r="P35" i="30" l="1"/>
  <c r="P51" i="29"/>
  <c r="P52" i="29"/>
  <c r="P34" i="30"/>
  <c r="P27" i="30"/>
  <c r="D28" i="30"/>
  <c r="P28" i="30" s="1"/>
  <c r="D36" i="30"/>
  <c r="D37" i="30" s="1"/>
  <c r="P70" i="29"/>
  <c r="I47" i="274" s="1"/>
  <c r="E47" i="274" s="1"/>
  <c r="D76" i="29"/>
  <c r="G50" i="274"/>
  <c r="C50" i="274" s="1"/>
  <c r="G47" i="274"/>
  <c r="C47" i="274" s="1"/>
  <c r="H47" i="274"/>
  <c r="D47" i="274" s="1"/>
  <c r="H50" i="274"/>
  <c r="D50" i="274" s="1"/>
  <c r="H44" i="274"/>
  <c r="D44" i="274" s="1"/>
  <c r="C44" i="274"/>
  <c r="P76" i="29"/>
  <c r="E36" i="14" s="1"/>
  <c r="E38" i="14" s="1"/>
  <c r="P48" i="29"/>
  <c r="I44" i="274"/>
  <c r="E44" i="274" s="1"/>
  <c r="I12" i="274"/>
  <c r="E12" i="274" s="1"/>
  <c r="D32" i="30"/>
  <c r="D26" i="30"/>
  <c r="P26" i="30" s="1"/>
  <c r="P29" i="30"/>
  <c r="P32" i="30" s="1"/>
  <c r="P71" i="29" l="1"/>
  <c r="I31" i="274"/>
  <c r="E31" i="274" s="1"/>
  <c r="I24" i="274"/>
  <c r="E24" i="274" s="1"/>
  <c r="I26" i="274"/>
  <c r="E26" i="274" s="1"/>
  <c r="I33" i="274"/>
  <c r="E33" i="274" s="1"/>
  <c r="I29" i="274"/>
  <c r="E29" i="274" s="1"/>
  <c r="I22" i="274"/>
  <c r="E22" i="274" s="1"/>
  <c r="I50" i="274"/>
  <c r="I9" i="274"/>
  <c r="E9" i="274" s="1"/>
  <c r="J47" i="274"/>
  <c r="F47" i="274"/>
  <c r="F44" i="274"/>
  <c r="J44" i="274"/>
  <c r="F114" i="274"/>
  <c r="F110" i="274"/>
  <c r="F106" i="274"/>
  <c r="D142" i="274" l="1"/>
  <c r="C142" i="274"/>
  <c r="F142" i="274" s="1"/>
  <c r="D108" i="274"/>
  <c r="C108" i="274"/>
  <c r="E108" i="274"/>
  <c r="D112" i="274"/>
  <c r="E112" i="274"/>
  <c r="F50" i="274"/>
  <c r="E50" i="274"/>
  <c r="J50" i="274"/>
  <c r="F48" i="274"/>
  <c r="F58" i="274"/>
  <c r="F65" i="274"/>
  <c r="F34" i="274"/>
  <c r="F56" i="274"/>
  <c r="F45" i="274"/>
  <c r="F63" i="274"/>
  <c r="F32" i="274"/>
  <c r="F54" i="274"/>
  <c r="F30" i="274"/>
  <c r="F61" i="274"/>
  <c r="F13" i="274"/>
  <c r="E11" i="274" s="1"/>
  <c r="E74" i="274" s="1"/>
  <c r="F20" i="274"/>
  <c r="E18" i="274" s="1"/>
  <c r="F51" i="274"/>
  <c r="F23" i="274"/>
  <c r="F25" i="274"/>
  <c r="F10" i="274"/>
  <c r="F17" i="274"/>
  <c r="F27" i="274"/>
  <c r="E52" i="274" l="1"/>
  <c r="E15" i="274"/>
  <c r="E21" i="274"/>
  <c r="F108" i="274"/>
  <c r="D46" i="274"/>
  <c r="C46" i="274"/>
  <c r="E46" i="274"/>
  <c r="C43" i="274"/>
  <c r="E43" i="274"/>
  <c r="D43" i="274"/>
  <c r="E8" i="274"/>
  <c r="E36" i="274" s="1"/>
  <c r="E28" i="274"/>
  <c r="E38" i="274" s="1"/>
  <c r="C49" i="274"/>
  <c r="D49" i="274"/>
  <c r="E49" i="274"/>
  <c r="E72" i="274" s="1"/>
  <c r="E67" i="274" l="1"/>
  <c r="E14" i="274"/>
  <c r="F49" i="274"/>
  <c r="F43" i="274"/>
  <c r="E40" i="274"/>
  <c r="E37" i="274" s="1"/>
  <c r="F46" i="274"/>
  <c r="F78" i="274"/>
  <c r="F99" i="274"/>
  <c r="F95" i="274"/>
  <c r="E35" i="274"/>
  <c r="E39" i="274" l="1"/>
  <c r="F91" i="274"/>
  <c r="E76" i="274"/>
  <c r="F89" i="274"/>
  <c r="E93" i="274"/>
  <c r="E97" i="274"/>
  <c r="E87" i="274" l="1"/>
  <c r="E92" i="274" s="1"/>
  <c r="D87" i="274"/>
  <c r="D92" i="274" s="1"/>
  <c r="C87" i="274"/>
  <c r="C92" i="274" s="1"/>
  <c r="F87" i="274" l="1"/>
  <c r="F92" i="274" s="1"/>
  <c r="I84" i="3"/>
  <c r="I77" i="3" l="1"/>
  <c r="D85" i="3"/>
  <c r="H44" i="214"/>
  <c r="H51" i="214"/>
  <c r="H50" i="214"/>
  <c r="H45" i="214"/>
  <c r="A5" i="213" l="1"/>
  <c r="G9" i="213"/>
  <c r="G8" i="213"/>
  <c r="G11" i="213"/>
  <c r="G10" i="213"/>
  <c r="G6" i="213"/>
  <c r="G14" i="213"/>
  <c r="G13" i="213"/>
  <c r="A6" i="213" l="1"/>
  <c r="A7" i="213" l="1"/>
  <c r="A8" i="213" s="1"/>
  <c r="A9" i="213" l="1"/>
  <c r="A10" i="213" l="1"/>
  <c r="A11" i="213" l="1"/>
  <c r="A12" i="213" s="1"/>
  <c r="A13" i="213" l="1"/>
  <c r="A14" i="213"/>
  <c r="A15" i="213" s="1"/>
  <c r="A16" i="213" s="1"/>
  <c r="A17" i="213" s="1"/>
  <c r="A18" i="213" s="1"/>
  <c r="A19" i="213" s="1"/>
  <c r="H43" i="214"/>
  <c r="H9" i="95"/>
  <c r="H8" i="95"/>
  <c r="H41" i="89"/>
  <c r="H21" i="95"/>
  <c r="H38" i="214"/>
  <c r="H34" i="214"/>
  <c r="G41" i="14"/>
  <c r="H27" i="214"/>
  <c r="H18" i="95"/>
  <c r="G23" i="14"/>
  <c r="H49" i="89"/>
  <c r="H14" i="95"/>
  <c r="H16" i="95"/>
  <c r="H18" i="138"/>
  <c r="H49" i="214"/>
  <c r="H27" i="95"/>
  <c r="H34" i="95"/>
  <c r="H26" i="214"/>
  <c r="H39" i="214"/>
  <c r="G31" i="14"/>
  <c r="H37" i="95"/>
  <c r="H11" i="95"/>
  <c r="G21" i="14"/>
  <c r="H13" i="95"/>
  <c r="H11" i="138"/>
  <c r="H42" i="89"/>
  <c r="H29" i="95"/>
  <c r="G22" i="14"/>
  <c r="H20" i="95"/>
  <c r="H19" i="95"/>
  <c r="G19" i="14"/>
  <c r="G30" i="14"/>
  <c r="H10" i="95"/>
  <c r="G40" i="14"/>
  <c r="H35" i="95"/>
  <c r="H6" i="95"/>
  <c r="G20" i="14"/>
  <c r="H40" i="89"/>
  <c r="H32" i="95"/>
  <c r="H28" i="214"/>
  <c r="H43" i="89"/>
  <c r="H15" i="95"/>
  <c r="G43" i="14"/>
  <c r="G51" i="14"/>
  <c r="G39" i="14"/>
  <c r="H39" i="89"/>
  <c r="H50" i="89"/>
  <c r="H29" i="214"/>
  <c r="H23" i="95"/>
  <c r="H36" i="95"/>
  <c r="H25" i="95"/>
  <c r="G42" i="14"/>
  <c r="A6" i="95" l="1"/>
  <c r="A7" i="95" l="1"/>
  <c r="A8" i="95" l="1"/>
  <c r="A9" i="95" s="1"/>
  <c r="A10" i="95" s="1"/>
  <c r="A11" i="95" s="1"/>
  <c r="A12" i="95" s="1"/>
  <c r="A13" i="95" s="1"/>
  <c r="A14" i="95" s="1"/>
  <c r="A15" i="95" s="1"/>
  <c r="A16" i="95" s="1"/>
  <c r="A17" i="95" s="1"/>
  <c r="A18" i="95" s="1"/>
  <c r="A19" i="95" s="1"/>
  <c r="A20" i="95" s="1"/>
  <c r="A21" i="95" s="1"/>
  <c r="A22" i="95" s="1"/>
  <c r="A23" i="95" s="1"/>
  <c r="A24" i="95" s="1"/>
  <c r="A25" i="95" s="1"/>
  <c r="A26" i="95" s="1"/>
  <c r="A27" i="95" s="1"/>
  <c r="A28" i="95" s="1"/>
  <c r="A29" i="95" s="1"/>
  <c r="A30" i="95" s="1"/>
  <c r="A31" i="95" s="1"/>
  <c r="A32" i="95" s="1"/>
  <c r="A33" i="95" s="1"/>
  <c r="A34" i="95" s="1"/>
  <c r="A35" i="95" s="1"/>
  <c r="A36" i="95" s="1"/>
  <c r="A37" i="95" s="1"/>
  <c r="A38" i="95" s="1"/>
  <c r="A39" i="95" s="1"/>
  <c r="A40" i="95" s="1"/>
  <c r="A41" i="95" s="1"/>
  <c r="A42" i="95" s="1"/>
  <c r="E48" i="30" l="1"/>
  <c r="F48" i="30"/>
  <c r="G48" i="30"/>
  <c r="I48" i="30"/>
  <c r="J48" i="30"/>
  <c r="K48" i="30"/>
  <c r="L48" i="30"/>
  <c r="M48" i="30"/>
  <c r="N48" i="30"/>
  <c r="O48" i="30"/>
  <c r="E49" i="30"/>
  <c r="F49" i="30"/>
  <c r="G49" i="30"/>
  <c r="I49" i="30"/>
  <c r="J49" i="30"/>
  <c r="K49" i="30"/>
  <c r="L49" i="30"/>
  <c r="M49" i="30"/>
  <c r="N49" i="30"/>
  <c r="O49" i="30"/>
  <c r="E50" i="30"/>
  <c r="F50" i="30"/>
  <c r="G50" i="30"/>
  <c r="I50" i="30"/>
  <c r="J50" i="30"/>
  <c r="K50" i="30"/>
  <c r="L50" i="30"/>
  <c r="M50" i="30"/>
  <c r="N50" i="30"/>
  <c r="O50" i="30"/>
  <c r="D50" i="30"/>
  <c r="D49" i="30"/>
  <c r="D48" i="30"/>
  <c r="D40" i="30"/>
  <c r="I18" i="30"/>
  <c r="J18" i="30"/>
  <c r="K18" i="30"/>
  <c r="L18" i="30"/>
  <c r="M18" i="30"/>
  <c r="N18" i="30"/>
  <c r="O18" i="30"/>
  <c r="I19" i="30"/>
  <c r="J19" i="30"/>
  <c r="K19" i="30"/>
  <c r="L19" i="30"/>
  <c r="M19" i="30"/>
  <c r="N19" i="30"/>
  <c r="O19" i="30"/>
  <c r="I20" i="30"/>
  <c r="J20" i="30"/>
  <c r="K20" i="30"/>
  <c r="L20" i="30"/>
  <c r="M20" i="30"/>
  <c r="N20" i="30"/>
  <c r="O20" i="30"/>
  <c r="E18" i="30"/>
  <c r="F18" i="30"/>
  <c r="G18" i="30"/>
  <c r="E19" i="30"/>
  <c r="F19" i="30"/>
  <c r="G19" i="30"/>
  <c r="E20" i="30"/>
  <c r="F20" i="30"/>
  <c r="G20" i="30"/>
  <c r="D19" i="30"/>
  <c r="E8" i="213" l="1"/>
  <c r="J95" i="274" s="1"/>
  <c r="I93" i="274" l="1"/>
  <c r="F8" i="213"/>
  <c r="G50" i="214"/>
  <c r="E9" i="213"/>
  <c r="F9" i="213" s="1"/>
  <c r="A5" i="214" l="1"/>
  <c r="A5" i="138"/>
  <c r="A5" i="92"/>
  <c r="A5" i="14"/>
  <c r="A5" i="89"/>
  <c r="A8" i="5"/>
  <c r="A9" i="5" l="1"/>
  <c r="A10" i="5" s="1"/>
  <c r="A6" i="30"/>
  <c r="A6" i="92"/>
  <c r="A7" i="92" s="1"/>
  <c r="A6" i="138"/>
  <c r="A6" i="214"/>
  <c r="A7" i="214" s="1"/>
  <c r="A6" i="14"/>
  <c r="A7" i="14" s="1"/>
  <c r="A7" i="30" l="1"/>
  <c r="A8" i="30"/>
  <c r="A9" i="30"/>
  <c r="A10" i="30"/>
  <c r="A8" i="138"/>
  <c r="A9" i="138" s="1"/>
  <c r="A10" i="138"/>
  <c r="A11" i="5"/>
  <c r="A12" i="5" s="1"/>
  <c r="A7" i="138"/>
  <c r="A8" i="92"/>
  <c r="A8" i="14"/>
  <c r="A6" i="89"/>
  <c r="A8" i="214"/>
  <c r="A11" i="30" l="1"/>
  <c r="C10" i="138"/>
  <c r="A11" i="138"/>
  <c r="A9" i="92"/>
  <c r="A10" i="92" s="1"/>
  <c r="C11" i="138"/>
  <c r="A9" i="14"/>
  <c r="A7" i="89"/>
  <c r="A13" i="5"/>
  <c r="A9" i="214"/>
  <c r="A10" i="214" s="1"/>
  <c r="A12" i="138" l="1"/>
  <c r="A13" i="138" s="1"/>
  <c r="A13" i="30"/>
  <c r="A12" i="30"/>
  <c r="A14" i="5"/>
  <c r="A11" i="92"/>
  <c r="A12" i="92"/>
  <c r="A10" i="14"/>
  <c r="A11" i="14" s="1"/>
  <c r="A8" i="89"/>
  <c r="A11" i="214"/>
  <c r="A14" i="138" l="1"/>
  <c r="A15" i="138"/>
  <c r="A16" i="138" s="1"/>
  <c r="A17" i="138" s="1"/>
  <c r="A18" i="138" s="1"/>
  <c r="A14" i="30"/>
  <c r="A13" i="92"/>
  <c r="A15" i="5"/>
  <c r="A12" i="214"/>
  <c r="A13" i="214" s="1"/>
  <c r="A12" i="14"/>
  <c r="A13" i="14" s="1"/>
  <c r="A9" i="89"/>
  <c r="A10" i="89" s="1"/>
  <c r="A15" i="30" l="1"/>
  <c r="C17" i="138"/>
  <c r="A14" i="92"/>
  <c r="A15" i="92" s="1"/>
  <c r="A16" i="5"/>
  <c r="A14" i="14"/>
  <c r="A15" i="14" s="1"/>
  <c r="A11" i="89"/>
  <c r="C48" i="89" s="1"/>
  <c r="A14" i="214"/>
  <c r="A16" i="92"/>
  <c r="A17" i="92" s="1"/>
  <c r="A17" i="5" l="1"/>
  <c r="A19" i="5" s="1"/>
  <c r="A16" i="30"/>
  <c r="A17" i="30"/>
  <c r="A18" i="30" s="1"/>
  <c r="A19" i="30" s="1"/>
  <c r="A20" i="30" s="1"/>
  <c r="A21" i="30" s="1"/>
  <c r="A22" i="30" s="1"/>
  <c r="A23" i="30" s="1"/>
  <c r="A24" i="30" s="1"/>
  <c r="A25" i="30" s="1"/>
  <c r="A26" i="30" s="1"/>
  <c r="A27" i="30" s="1"/>
  <c r="A28" i="30" s="1"/>
  <c r="A29" i="30" s="1"/>
  <c r="A30" i="30" s="1"/>
  <c r="A31" i="30" s="1"/>
  <c r="A32" i="30" s="1"/>
  <c r="A33" i="30" s="1"/>
  <c r="A20" i="5"/>
  <c r="C18" i="138"/>
  <c r="A15" i="214"/>
  <c r="A16" i="214" s="1"/>
  <c r="A17" i="214" s="1"/>
  <c r="A16" i="14"/>
  <c r="A12" i="89"/>
  <c r="A18" i="92"/>
  <c r="C19" i="92" s="1"/>
  <c r="A6" i="3"/>
  <c r="A8" i="134"/>
  <c r="F14" i="138"/>
  <c r="A34" i="30" l="1"/>
  <c r="A35" i="30" s="1"/>
  <c r="A36" i="30" s="1"/>
  <c r="A37" i="30" s="1"/>
  <c r="A38" i="30" s="1"/>
  <c r="A39" i="30" s="1"/>
  <c r="A40" i="30" s="1"/>
  <c r="A41" i="30" s="1"/>
  <c r="A42" i="30" s="1"/>
  <c r="A43" i="30" s="1"/>
  <c r="A44" i="30" s="1"/>
  <c r="A45" i="30" s="1"/>
  <c r="A46" i="30" s="1"/>
  <c r="A47" i="30" s="1"/>
  <c r="A48" i="30" s="1"/>
  <c r="A49" i="30" s="1"/>
  <c r="A50" i="30" s="1"/>
  <c r="A51" i="30" s="1"/>
  <c r="A52" i="30" s="1"/>
  <c r="A53" i="30" s="1"/>
  <c r="A54" i="30" s="1"/>
  <c r="A55" i="30" s="1"/>
  <c r="A56" i="30" s="1"/>
  <c r="A57" i="30" s="1"/>
  <c r="A58" i="30" s="1"/>
  <c r="A59" i="30" s="1"/>
  <c r="A60" i="30" s="1"/>
  <c r="A61" i="30" s="1"/>
  <c r="A62" i="30" s="1"/>
  <c r="A63" i="30" s="1"/>
  <c r="A64" i="30" s="1"/>
  <c r="A65" i="30" s="1"/>
  <c r="A66" i="30" s="1"/>
  <c r="A67" i="30" s="1"/>
  <c r="G113" i="274"/>
  <c r="F17" i="138"/>
  <c r="A21" i="5"/>
  <c r="A7" i="3"/>
  <c r="A8" i="3" s="1"/>
  <c r="A19" i="92"/>
  <c r="A9" i="134"/>
  <c r="A10" i="134" s="1"/>
  <c r="C17" i="14"/>
  <c r="A17" i="14"/>
  <c r="A13" i="89"/>
  <c r="A18" i="214"/>
  <c r="A19" i="214" s="1"/>
  <c r="A22" i="5" l="1"/>
  <c r="C47" i="92"/>
  <c r="C37" i="92"/>
  <c r="J113" i="274"/>
  <c r="C113" i="274"/>
  <c r="C112" i="274" s="1"/>
  <c r="F112" i="274" s="1"/>
  <c r="F113" i="274"/>
  <c r="A19" i="29"/>
  <c r="A20" i="29" s="1"/>
  <c r="A21" i="29" s="1"/>
  <c r="A22" i="29" s="1"/>
  <c r="A9" i="3"/>
  <c r="A20" i="92"/>
  <c r="A21" i="92" s="1"/>
  <c r="A11" i="134"/>
  <c r="A18" i="14"/>
  <c r="A14" i="89"/>
  <c r="A15" i="89" s="1"/>
  <c r="A20" i="214"/>
  <c r="A21" i="214" s="1"/>
  <c r="A22" i="214" s="1"/>
  <c r="A10" i="3" l="1"/>
  <c r="A11" i="3" s="1"/>
  <c r="A23" i="5"/>
  <c r="A23" i="214"/>
  <c r="A23" i="29"/>
  <c r="A24" i="29" s="1"/>
  <c r="A25" i="29" s="1"/>
  <c r="A26" i="29" s="1"/>
  <c r="A27" i="29" s="1"/>
  <c r="A28" i="29" s="1"/>
  <c r="A29" i="29" s="1"/>
  <c r="A30" i="29" s="1"/>
  <c r="A31" i="29" s="1"/>
  <c r="A32" i="29" s="1"/>
  <c r="A33" i="29" s="1"/>
  <c r="A34" i="29" s="1"/>
  <c r="A35" i="29" s="1"/>
  <c r="A36" i="29" s="1"/>
  <c r="A12" i="134"/>
  <c r="A22" i="92"/>
  <c r="A23" i="92" s="1"/>
  <c r="A24" i="92" s="1"/>
  <c r="A25" i="92" s="1"/>
  <c r="A26" i="92" s="1"/>
  <c r="A27" i="92" s="1"/>
  <c r="A19" i="14"/>
  <c r="A16" i="89"/>
  <c r="A12" i="3" l="1"/>
  <c r="A24" i="5"/>
  <c r="A25" i="5" s="1"/>
  <c r="A26" i="5" s="1"/>
  <c r="A24" i="214"/>
  <c r="A25" i="214" s="1"/>
  <c r="A26" i="214" s="1"/>
  <c r="A27" i="214" s="1"/>
  <c r="A28" i="214" s="1"/>
  <c r="A29" i="214" s="1"/>
  <c r="A30" i="214" s="1"/>
  <c r="A31" i="214" s="1"/>
  <c r="A32" i="214" s="1"/>
  <c r="A33" i="214" s="1"/>
  <c r="A34" i="214" s="1"/>
  <c r="A35" i="214" s="1"/>
  <c r="A36" i="214" s="1"/>
  <c r="A37" i="214" s="1"/>
  <c r="A38" i="214" s="1"/>
  <c r="A39" i="214" s="1"/>
  <c r="A40" i="214" s="1"/>
  <c r="A41" i="214" s="1"/>
  <c r="C27" i="92"/>
  <c r="C29" i="92"/>
  <c r="A37" i="29"/>
  <c r="A38" i="29" s="1"/>
  <c r="A28" i="92"/>
  <c r="A29" i="92" s="1"/>
  <c r="C30" i="92"/>
  <c r="A13" i="3"/>
  <c r="A13" i="134"/>
  <c r="C21" i="14"/>
  <c r="C23" i="14"/>
  <c r="C22" i="14"/>
  <c r="A20" i="14"/>
  <c r="A17" i="89"/>
  <c r="A14" i="3" l="1"/>
  <c r="A15" i="3" s="1"/>
  <c r="A27" i="5"/>
  <c r="A28" i="5"/>
  <c r="A30" i="5" s="1"/>
  <c r="A31" i="5" s="1"/>
  <c r="A32" i="5" s="1"/>
  <c r="A30" i="92"/>
  <c r="A31" i="92" s="1"/>
  <c r="A32" i="92" s="1"/>
  <c r="A33" i="92" s="1"/>
  <c r="A34" i="92" s="1"/>
  <c r="A35" i="92" s="1"/>
  <c r="A36" i="92" s="1"/>
  <c r="A37" i="92" s="1"/>
  <c r="A38" i="92" s="1"/>
  <c r="A39" i="92" s="1"/>
  <c r="A40" i="92" s="1"/>
  <c r="A41" i="92" s="1"/>
  <c r="C40" i="92"/>
  <c r="A42" i="214"/>
  <c r="A39" i="29"/>
  <c r="A14" i="134"/>
  <c r="A42" i="92"/>
  <c r="C45" i="92"/>
  <c r="C44" i="92"/>
  <c r="C43" i="92"/>
  <c r="A21" i="14"/>
  <c r="A18" i="89"/>
  <c r="A19" i="89" s="1"/>
  <c r="A20" i="89" s="1"/>
  <c r="A16" i="3" l="1"/>
  <c r="A17" i="3" s="1"/>
  <c r="A15" i="134"/>
  <c r="A33" i="5"/>
  <c r="C14" i="92"/>
  <c r="A43" i="214"/>
  <c r="A44" i="214" s="1"/>
  <c r="A45" i="214" s="1"/>
  <c r="A46" i="214" s="1"/>
  <c r="A47" i="214" s="1"/>
  <c r="A48" i="214" s="1"/>
  <c r="A40" i="29"/>
  <c r="A41" i="29" s="1"/>
  <c r="A42" i="29" s="1"/>
  <c r="A43" i="29" s="1"/>
  <c r="A44" i="29" s="1"/>
  <c r="A45" i="29" s="1"/>
  <c r="A46" i="29" s="1"/>
  <c r="A43" i="92"/>
  <c r="A22" i="14"/>
  <c r="A21" i="89"/>
  <c r="A16" i="134" l="1"/>
  <c r="A34" i="5"/>
  <c r="C15" i="92"/>
  <c r="A49" i="214"/>
  <c r="A50" i="214" s="1"/>
  <c r="A51" i="214" s="1"/>
  <c r="A44" i="92"/>
  <c r="A23" i="14"/>
  <c r="A22" i="89"/>
  <c r="A18" i="3"/>
  <c r="A19" i="3" s="1"/>
  <c r="A20" i="3" s="1"/>
  <c r="A21" i="3" s="1"/>
  <c r="A22" i="3" s="1"/>
  <c r="A23" i="3" s="1"/>
  <c r="A24" i="3" l="1"/>
  <c r="A25" i="3" s="1"/>
  <c r="A26" i="3" s="1"/>
  <c r="A27" i="3" s="1"/>
  <c r="A28" i="3" s="1"/>
  <c r="A18" i="134"/>
  <c r="A19" i="134" s="1"/>
  <c r="A20" i="134" s="1"/>
  <c r="A35" i="5"/>
  <c r="A36" i="5" s="1"/>
  <c r="A37" i="5" s="1"/>
  <c r="C16" i="92"/>
  <c r="A45" i="92"/>
  <c r="A24" i="14"/>
  <c r="A25" i="14" s="1"/>
  <c r="A26" i="14" s="1"/>
  <c r="A27" i="14" s="1"/>
  <c r="A28" i="14" s="1"/>
  <c r="A29" i="14" s="1"/>
  <c r="A30" i="14" s="1"/>
  <c r="A23" i="89"/>
  <c r="A24" i="89" s="1"/>
  <c r="A29" i="3" l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38" i="5"/>
  <c r="C17" i="92"/>
  <c r="A21" i="134"/>
  <c r="A22" i="134" s="1"/>
  <c r="A47" i="29"/>
  <c r="A46" i="92"/>
  <c r="A47" i="92" s="1"/>
  <c r="A48" i="92" s="1"/>
  <c r="A49" i="92" s="1"/>
  <c r="A50" i="92" s="1"/>
  <c r="A51" i="92" s="1"/>
  <c r="A52" i="92" s="1"/>
  <c r="A31" i="14"/>
  <c r="C31" i="14"/>
  <c r="A25" i="89"/>
  <c r="A26" i="89" s="1"/>
  <c r="A27" i="89" s="1"/>
  <c r="C25" i="89"/>
  <c r="C27" i="89"/>
  <c r="A39" i="5" l="1"/>
  <c r="A41" i="5" s="1"/>
  <c r="A42" i="5" s="1"/>
  <c r="A43" i="5" s="1"/>
  <c r="A44" i="5" s="1"/>
  <c r="C18" i="92"/>
  <c r="A23" i="134"/>
  <c r="A24" i="134" s="1"/>
  <c r="A25" i="134" s="1"/>
  <c r="A26" i="134" s="1"/>
  <c r="A28" i="134" s="1"/>
  <c r="A29" i="134" s="1"/>
  <c r="A30" i="134" s="1"/>
  <c r="A31" i="134" s="1"/>
  <c r="A32" i="134" s="1"/>
  <c r="A33" i="134" s="1"/>
  <c r="A34" i="134" s="1"/>
  <c r="A35" i="134" s="1"/>
  <c r="A36" i="134" s="1"/>
  <c r="A38" i="134" s="1"/>
  <c r="A39" i="134" s="1"/>
  <c r="A40" i="134" s="1"/>
  <c r="A41" i="134" s="1"/>
  <c r="A42" i="134" s="1"/>
  <c r="A43" i="134" s="1"/>
  <c r="A44" i="134" s="1"/>
  <c r="A45" i="134" s="1"/>
  <c r="A46" i="134" s="1"/>
  <c r="A48" i="29"/>
  <c r="A95" i="3"/>
  <c r="A53" i="92"/>
  <c r="A54" i="92" s="1"/>
  <c r="A55" i="92" s="1"/>
  <c r="A56" i="92" s="1"/>
  <c r="A57" i="92" s="1"/>
  <c r="A58" i="92" s="1"/>
  <c r="A59" i="92" s="1"/>
  <c r="A60" i="92" s="1"/>
  <c r="A61" i="92" s="1"/>
  <c r="A62" i="92" s="1"/>
  <c r="A32" i="14"/>
  <c r="A33" i="14" s="1"/>
  <c r="A34" i="14" s="1"/>
  <c r="A35" i="14" s="1"/>
  <c r="A36" i="14" s="1"/>
  <c r="A37" i="14" s="1"/>
  <c r="A38" i="14" s="1"/>
  <c r="A39" i="14" s="1"/>
  <c r="A28" i="89"/>
  <c r="A29" i="89" s="1"/>
  <c r="A30" i="89" s="1"/>
  <c r="A31" i="89" s="1"/>
  <c r="A32" i="89" s="1"/>
  <c r="C38" i="89"/>
  <c r="A45" i="5" l="1"/>
  <c r="C6" i="138"/>
  <c r="A49" i="29"/>
  <c r="A96" i="3"/>
  <c r="A40" i="14"/>
  <c r="C41" i="14"/>
  <c r="C40" i="14"/>
  <c r="C43" i="14"/>
  <c r="C42" i="14"/>
  <c r="A33" i="89"/>
  <c r="A34" i="89" s="1"/>
  <c r="A35" i="89" s="1"/>
  <c r="A36" i="89" s="1"/>
  <c r="A37" i="89" s="1"/>
  <c r="A38" i="89" s="1"/>
  <c r="A39" i="89" s="1"/>
  <c r="C46" i="89"/>
  <c r="A46" i="5" l="1"/>
  <c r="A47" i="5" s="1"/>
  <c r="A48" i="5" s="1"/>
  <c r="A49" i="5" s="1"/>
  <c r="A50" i="5" s="1"/>
  <c r="C6" i="89" s="1"/>
  <c r="C13" i="138"/>
  <c r="A50" i="29"/>
  <c r="A51" i="29" s="1"/>
  <c r="A52" i="29" s="1"/>
  <c r="A53" i="29" s="1"/>
  <c r="A54" i="29" s="1"/>
  <c r="C33" i="14"/>
  <c r="A97" i="3"/>
  <c r="A41" i="14"/>
  <c r="A40" i="89"/>
  <c r="C43" i="89"/>
  <c r="C42" i="89"/>
  <c r="C41" i="89"/>
  <c r="A55" i="29" l="1"/>
  <c r="A98" i="3"/>
  <c r="A42" i="14"/>
  <c r="A41" i="89"/>
  <c r="A56" i="29" l="1"/>
  <c r="A99" i="3"/>
  <c r="A43" i="14"/>
  <c r="A42" i="89"/>
  <c r="L67" i="30"/>
  <c r="H67" i="30"/>
  <c r="M67" i="30"/>
  <c r="I67" i="30"/>
  <c r="E67" i="30"/>
  <c r="N67" i="30"/>
  <c r="K67" i="30"/>
  <c r="G67" i="30"/>
  <c r="J67" i="30"/>
  <c r="F67" i="30"/>
  <c r="D35" i="29"/>
  <c r="D31" i="29"/>
  <c r="A57" i="29" l="1"/>
  <c r="A58" i="29" s="1"/>
  <c r="A59" i="29" s="1"/>
  <c r="A60" i="29" s="1"/>
  <c r="A61" i="29" s="1"/>
  <c r="A62" i="29" s="1"/>
  <c r="A63" i="29" s="1"/>
  <c r="A100" i="3"/>
  <c r="A101" i="3" s="1"/>
  <c r="A102" i="3" s="1"/>
  <c r="A103" i="3" s="1"/>
  <c r="A104" i="3" s="1"/>
  <c r="A105" i="3" s="1"/>
  <c r="A106" i="3" s="1"/>
  <c r="A44" i="14"/>
  <c r="A45" i="14" s="1"/>
  <c r="A46" i="14" s="1"/>
  <c r="A47" i="14" s="1"/>
  <c r="A48" i="14" s="1"/>
  <c r="A43" i="89"/>
  <c r="D19" i="29"/>
  <c r="I55" i="29"/>
  <c r="D55" i="29" l="1"/>
  <c r="D21" i="29"/>
  <c r="D66" i="29" s="1"/>
  <c r="D64" i="29"/>
  <c r="A64" i="29"/>
  <c r="A65" i="29" s="1"/>
  <c r="A66" i="29" s="1"/>
  <c r="A67" i="29" s="1"/>
  <c r="A68" i="29" s="1"/>
  <c r="A69" i="29" s="1"/>
  <c r="A70" i="29" s="1"/>
  <c r="A71" i="29" s="1"/>
  <c r="C26" i="92"/>
  <c r="A107" i="3"/>
  <c r="A108" i="3" s="1"/>
  <c r="A109" i="3" s="1"/>
  <c r="A110" i="3" s="1"/>
  <c r="A111" i="3" s="1"/>
  <c r="A112" i="3" s="1"/>
  <c r="A49" i="14"/>
  <c r="A50" i="14" s="1"/>
  <c r="A51" i="14" s="1"/>
  <c r="A44" i="89"/>
  <c r="D15" i="29"/>
  <c r="P15" i="29" l="1"/>
  <c r="P16" i="29"/>
  <c r="D60" i="29"/>
  <c r="A113" i="3"/>
  <c r="A114" i="3" s="1"/>
  <c r="A115" i="3" s="1"/>
  <c r="C22" i="92"/>
  <c r="A72" i="29"/>
  <c r="A73" i="29" s="1"/>
  <c r="A74" i="29" s="1"/>
  <c r="A75" i="29" s="1"/>
  <c r="A76" i="29" s="1"/>
  <c r="C51" i="14"/>
  <c r="A45" i="89"/>
  <c r="A46" i="89" s="1"/>
  <c r="A47" i="89" s="1"/>
  <c r="A48" i="89" s="1"/>
  <c r="A49" i="89" s="1"/>
  <c r="A50" i="89" s="1"/>
  <c r="A116" i="3" l="1"/>
  <c r="A117" i="3" s="1"/>
  <c r="C21" i="92"/>
  <c r="A51" i="89"/>
  <c r="A52" i="89" s="1"/>
  <c r="A53" i="89" s="1"/>
  <c r="A54" i="89" s="1"/>
  <c r="I34" i="3"/>
  <c r="I90" i="3"/>
  <c r="I89" i="3"/>
  <c r="I88" i="3"/>
  <c r="A118" i="3" l="1"/>
  <c r="A123" i="3"/>
  <c r="A124" i="3" s="1"/>
  <c r="A125" i="3" s="1"/>
  <c r="A126" i="3" s="1"/>
  <c r="A127" i="3" s="1"/>
  <c r="A128" i="3" s="1"/>
  <c r="A129" i="3" s="1"/>
  <c r="A130" i="3" s="1"/>
  <c r="A131" i="3" s="1"/>
  <c r="A132" i="3" s="1"/>
  <c r="A133" i="3" s="1"/>
  <c r="A134" i="3" s="1"/>
  <c r="A135" i="3" s="1"/>
  <c r="A136" i="3" s="1"/>
  <c r="A137" i="3" s="1"/>
  <c r="A138" i="3" s="1"/>
  <c r="A139" i="3" s="1"/>
  <c r="A140" i="3" s="1"/>
  <c r="I79" i="3"/>
  <c r="D80" i="3" s="1"/>
  <c r="E78" i="3"/>
  <c r="E53" i="3" s="1"/>
  <c r="E170" i="3" s="1"/>
  <c r="A141" i="3" l="1"/>
  <c r="A142" i="3" s="1"/>
  <c r="E51" i="3"/>
  <c r="D43" i="3"/>
  <c r="D44" i="3"/>
  <c r="C80" i="3"/>
  <c r="H80" i="3"/>
  <c r="G80" i="3"/>
  <c r="E80" i="3"/>
  <c r="D78" i="3"/>
  <c r="C78" i="3"/>
  <c r="C53" i="3" s="1"/>
  <c r="C170" i="3" s="1"/>
  <c r="G78" i="3"/>
  <c r="F80" i="3"/>
  <c r="H78" i="3"/>
  <c r="F78" i="3"/>
  <c r="F53" i="3" s="1"/>
  <c r="F170" i="3" s="1"/>
  <c r="D51" i="3" l="1"/>
  <c r="D53" i="3"/>
  <c r="A143" i="3"/>
  <c r="A144" i="3" s="1"/>
  <c r="C43" i="3"/>
  <c r="C44" i="3"/>
  <c r="F51" i="3"/>
  <c r="G53" i="3"/>
  <c r="G170" i="3" s="1"/>
  <c r="G51" i="3"/>
  <c r="H43" i="3"/>
  <c r="H44" i="3"/>
  <c r="H51" i="3"/>
  <c r="H53" i="3"/>
  <c r="H170" i="3" s="1"/>
  <c r="F44" i="3"/>
  <c r="F43" i="3"/>
  <c r="C51" i="3"/>
  <c r="E44" i="3"/>
  <c r="E43" i="3"/>
  <c r="G44" i="3"/>
  <c r="G43" i="3"/>
  <c r="I78" i="3"/>
  <c r="A145" i="3" l="1"/>
  <c r="A146" i="3"/>
  <c r="D170" i="3"/>
  <c r="I170" i="3" s="1"/>
  <c r="D113" i="3"/>
  <c r="I113" i="3" s="1"/>
  <c r="C47" i="14"/>
  <c r="C34" i="14"/>
  <c r="A151" i="3"/>
  <c r="A152" i="3"/>
  <c r="A153" i="3" s="1"/>
  <c r="A154" i="3" s="1"/>
  <c r="A155" i="3" s="1"/>
  <c r="A156" i="3" s="1"/>
  <c r="A157" i="3" s="1"/>
  <c r="A158" i="3" s="1"/>
  <c r="A159" i="3" s="1"/>
  <c r="A160" i="3" s="1"/>
  <c r="A161" i="3" s="1"/>
  <c r="A162" i="3" s="1"/>
  <c r="A163" i="3" s="1"/>
  <c r="A164" i="3" s="1"/>
  <c r="A165" i="3" s="1"/>
  <c r="A166" i="3" s="1"/>
  <c r="F11" i="30"/>
  <c r="A167" i="3" l="1"/>
  <c r="A168" i="3" s="1"/>
  <c r="A169" i="3" s="1"/>
  <c r="D56" i="5"/>
  <c r="E56" i="5"/>
  <c r="F56" i="5"/>
  <c r="G56" i="5"/>
  <c r="G62" i="5" s="1"/>
  <c r="H56" i="5"/>
  <c r="D55" i="5"/>
  <c r="E55" i="5"/>
  <c r="F55" i="5"/>
  <c r="G55" i="5"/>
  <c r="G60" i="5" s="1"/>
  <c r="H55" i="5"/>
  <c r="C55" i="5"/>
  <c r="A170" i="3" l="1"/>
  <c r="A171" i="3" s="1"/>
  <c r="C68" i="5"/>
  <c r="C60" i="5"/>
  <c r="I56" i="5"/>
  <c r="I26" i="134"/>
  <c r="C9" i="134"/>
  <c r="I55" i="5"/>
  <c r="H62" i="5"/>
  <c r="H70" i="5"/>
  <c r="E70" i="5"/>
  <c r="E62" i="5"/>
  <c r="H60" i="5"/>
  <c r="H68" i="5"/>
  <c r="E68" i="5"/>
  <c r="E60" i="5"/>
  <c r="D62" i="5"/>
  <c r="D70" i="5"/>
  <c r="D68" i="5"/>
  <c r="D60" i="5"/>
  <c r="C29" i="3"/>
  <c r="A172" i="3" l="1"/>
  <c r="A173" i="3" s="1"/>
  <c r="A174" i="3" s="1"/>
  <c r="E10" i="134"/>
  <c r="F10" i="134"/>
  <c r="G10" i="134"/>
  <c r="H10" i="134"/>
  <c r="I10" i="134"/>
  <c r="C70" i="3"/>
  <c r="E10" i="213" l="1"/>
  <c r="J99" i="274" l="1"/>
  <c r="F10" i="213"/>
  <c r="I97" i="274" l="1"/>
  <c r="E11" i="213"/>
  <c r="F11" i="213" s="1"/>
  <c r="E18" i="213" l="1"/>
  <c r="J85" i="274" l="1"/>
  <c r="F18" i="213"/>
  <c r="G44" i="214"/>
  <c r="E16" i="213" s="1"/>
  <c r="G51" i="214"/>
  <c r="E19" i="213" s="1"/>
  <c r="G49" i="214"/>
  <c r="E14" i="213"/>
  <c r="G45" i="214"/>
  <c r="E17" i="213" s="1"/>
  <c r="E13" i="213"/>
  <c r="J89" i="274" s="1"/>
  <c r="E6" i="213"/>
  <c r="J78" i="274" s="1"/>
  <c r="J86" i="274" l="1"/>
  <c r="I76" i="274"/>
  <c r="J91" i="274"/>
  <c r="G87" i="274" s="1"/>
  <c r="J82" i="274"/>
  <c r="J83" i="274"/>
  <c r="F16" i="213"/>
  <c r="F14" i="213"/>
  <c r="F19" i="213"/>
  <c r="F13" i="213"/>
  <c r="F6" i="213"/>
  <c r="F17" i="213"/>
  <c r="I50" i="3"/>
  <c r="I48" i="3"/>
  <c r="I35" i="3"/>
  <c r="I87" i="274" l="1"/>
  <c r="H87" i="274"/>
  <c r="J87" i="274"/>
  <c r="G80" i="274"/>
  <c r="G92" i="274" s="1"/>
  <c r="I80" i="274"/>
  <c r="H80" i="274"/>
  <c r="J80" i="274"/>
  <c r="H92" i="274" l="1"/>
  <c r="J92" i="274"/>
  <c r="K92" i="274" s="1"/>
  <c r="I92" i="274"/>
  <c r="K80" i="274"/>
  <c r="K87" i="274"/>
  <c r="N42" i="30"/>
  <c r="M42" i="30"/>
  <c r="L42" i="30"/>
  <c r="K42" i="30"/>
  <c r="J42" i="30"/>
  <c r="I42" i="30"/>
  <c r="G42" i="30"/>
  <c r="F42" i="30"/>
  <c r="E42" i="30"/>
  <c r="D42" i="30"/>
  <c r="O41" i="30"/>
  <c r="N41" i="30"/>
  <c r="M41" i="30"/>
  <c r="L41" i="30"/>
  <c r="K41" i="30"/>
  <c r="J41" i="30"/>
  <c r="I41" i="30"/>
  <c r="G41" i="30"/>
  <c r="F41" i="30"/>
  <c r="E41" i="30"/>
  <c r="D41" i="30"/>
  <c r="O40" i="30"/>
  <c r="N40" i="30"/>
  <c r="M40" i="30"/>
  <c r="L40" i="30"/>
  <c r="K40" i="30"/>
  <c r="J40" i="30"/>
  <c r="I40" i="30"/>
  <c r="G40" i="30"/>
  <c r="F40" i="30"/>
  <c r="E40" i="30"/>
  <c r="E12" i="30"/>
  <c r="F12" i="30"/>
  <c r="G12" i="30"/>
  <c r="I12" i="30"/>
  <c r="J12" i="30"/>
  <c r="K12" i="30"/>
  <c r="L12" i="30"/>
  <c r="M12" i="30"/>
  <c r="N12" i="30"/>
  <c r="O12" i="30"/>
  <c r="D12" i="30"/>
  <c r="D11" i="30"/>
  <c r="E11" i="30"/>
  <c r="G11" i="30"/>
  <c r="I11" i="30"/>
  <c r="J11" i="30"/>
  <c r="K11" i="30"/>
  <c r="L11" i="30"/>
  <c r="M11" i="30"/>
  <c r="N11" i="30"/>
  <c r="O11" i="30"/>
  <c r="E10" i="30"/>
  <c r="F10" i="30"/>
  <c r="G10" i="30"/>
  <c r="I10" i="30"/>
  <c r="J10" i="30"/>
  <c r="K10" i="30"/>
  <c r="L10" i="30"/>
  <c r="M10" i="30"/>
  <c r="N10" i="30"/>
  <c r="O10" i="30"/>
  <c r="F85" i="3" l="1"/>
  <c r="C85" i="3"/>
  <c r="H85" i="3"/>
  <c r="E85" i="3"/>
  <c r="G85" i="3"/>
  <c r="I85" i="3" l="1"/>
  <c r="E9" i="92" l="1"/>
  <c r="E13" i="92" s="1"/>
  <c r="D9" i="92"/>
  <c r="D13" i="92" s="1"/>
  <c r="G13" i="92" l="1"/>
  <c r="G9" i="92"/>
  <c r="F42" i="95" l="1"/>
  <c r="F41" i="95"/>
  <c r="F40" i="95"/>
  <c r="F39" i="95"/>
  <c r="G24" i="30"/>
  <c r="N24" i="30"/>
  <c r="O24" i="30"/>
  <c r="M24" i="30"/>
  <c r="K24" i="30"/>
  <c r="I24" i="30"/>
  <c r="L24" i="30" l="1"/>
  <c r="F24" i="30"/>
  <c r="J24" i="30"/>
  <c r="H24" i="30"/>
  <c r="G42" i="95" l="1"/>
  <c r="G41" i="95"/>
  <c r="G40" i="95"/>
  <c r="G39" i="95"/>
  <c r="D67" i="30"/>
  <c r="E10" i="14"/>
  <c r="O54" i="30"/>
  <c r="N54" i="30"/>
  <c r="M54" i="30"/>
  <c r="L54" i="30"/>
  <c r="K54" i="30"/>
  <c r="J54" i="30"/>
  <c r="I54" i="30"/>
  <c r="H54" i="30"/>
  <c r="G54" i="30"/>
  <c r="F54" i="30"/>
  <c r="E54" i="30"/>
  <c r="D54" i="30"/>
  <c r="P53" i="30"/>
  <c r="P52" i="30"/>
  <c r="P51" i="30"/>
  <c r="O46" i="30"/>
  <c r="N46" i="30"/>
  <c r="M46" i="30"/>
  <c r="L46" i="30"/>
  <c r="K46" i="30"/>
  <c r="J46" i="30"/>
  <c r="I46" i="30"/>
  <c r="H46" i="30"/>
  <c r="G46" i="30"/>
  <c r="F46" i="30"/>
  <c r="E46" i="30"/>
  <c r="D46" i="30"/>
  <c r="P45" i="30"/>
  <c r="P44" i="30"/>
  <c r="P43" i="30"/>
  <c r="O37" i="30"/>
  <c r="N37" i="30"/>
  <c r="M37" i="30"/>
  <c r="L37" i="30"/>
  <c r="K37" i="30"/>
  <c r="J37" i="30"/>
  <c r="I37" i="30"/>
  <c r="H37" i="30"/>
  <c r="G37" i="30"/>
  <c r="F37" i="30"/>
  <c r="E37" i="30"/>
  <c r="P36" i="30"/>
  <c r="P37" i="30" s="1"/>
  <c r="E24" i="30"/>
  <c r="D24" i="30"/>
  <c r="P23" i="30"/>
  <c r="P22" i="30"/>
  <c r="P21" i="30"/>
  <c r="O16" i="30"/>
  <c r="N16" i="30"/>
  <c r="M16" i="30"/>
  <c r="L16" i="30"/>
  <c r="K16" i="30"/>
  <c r="J16" i="30"/>
  <c r="I16" i="30"/>
  <c r="H16" i="30"/>
  <c r="G16" i="30"/>
  <c r="F16" i="30"/>
  <c r="E16" i="30"/>
  <c r="D16" i="30"/>
  <c r="P15" i="30"/>
  <c r="P14" i="30"/>
  <c r="P13" i="30"/>
  <c r="P16" i="30" l="1"/>
  <c r="P54" i="30"/>
  <c r="P46" i="30"/>
  <c r="C16" i="89"/>
  <c r="P24" i="30"/>
  <c r="C17" i="89" l="1"/>
  <c r="C18" i="89" l="1"/>
  <c r="C9" i="14" l="1"/>
  <c r="C10" i="14" l="1"/>
  <c r="C11" i="14" l="1"/>
  <c r="D10" i="29"/>
  <c r="P10" i="29" s="1"/>
  <c r="G19" i="274" s="1"/>
  <c r="D56" i="29" l="1"/>
  <c r="I66" i="29"/>
  <c r="P25" i="29"/>
  <c r="P37" i="29" s="1"/>
  <c r="H16" i="274" l="1"/>
  <c r="D16" i="274" s="1"/>
  <c r="D15" i="274" s="1"/>
  <c r="C45" i="134" l="1"/>
  <c r="H70" i="3" l="1"/>
  <c r="H26" i="134" l="1"/>
  <c r="G26" i="134"/>
  <c r="E26" i="134"/>
  <c r="I16" i="134"/>
  <c r="H16" i="134"/>
  <c r="G16" i="134"/>
  <c r="F16" i="134"/>
  <c r="E16" i="134"/>
  <c r="D16" i="134"/>
  <c r="C26" i="134" l="1"/>
  <c r="C16" i="134"/>
  <c r="D17" i="134" s="1"/>
  <c r="C19" i="134"/>
  <c r="I17" i="134" l="1"/>
  <c r="H17" i="134"/>
  <c r="G17" i="134"/>
  <c r="F17" i="134"/>
  <c r="E17" i="134"/>
  <c r="E20" i="134"/>
  <c r="F20" i="134"/>
  <c r="G20" i="134"/>
  <c r="H20" i="134"/>
  <c r="I20" i="134"/>
  <c r="D20" i="134"/>
  <c r="D29" i="3"/>
  <c r="G29" i="3" s="1"/>
  <c r="H29" i="3" s="1"/>
  <c r="H28" i="3" l="1"/>
  <c r="H19" i="3"/>
  <c r="H17" i="3"/>
  <c r="H18" i="3"/>
  <c r="B34" i="3"/>
  <c r="B35" i="3"/>
  <c r="B36" i="3"/>
  <c r="B37" i="3"/>
  <c r="B38" i="3"/>
  <c r="B39" i="3"/>
  <c r="B40" i="3"/>
  <c r="B41" i="3"/>
  <c r="B42" i="3"/>
  <c r="B43" i="3"/>
  <c r="B44" i="3"/>
  <c r="B45" i="3"/>
  <c r="B46" i="3"/>
  <c r="B47" i="3"/>
  <c r="B48" i="3"/>
  <c r="B49" i="3"/>
  <c r="B50" i="3"/>
  <c r="B51" i="3"/>
  <c r="E168" i="3" l="1"/>
  <c r="G168" i="3"/>
  <c r="F168" i="3"/>
  <c r="D168" i="3"/>
  <c r="H168" i="3"/>
  <c r="C168" i="3"/>
  <c r="E167" i="3"/>
  <c r="C167" i="3"/>
  <c r="F167" i="3"/>
  <c r="D167" i="3"/>
  <c r="G167" i="3"/>
  <c r="H167" i="3"/>
  <c r="G152" i="3"/>
  <c r="H152" i="3"/>
  <c r="F152" i="3"/>
  <c r="E152" i="3"/>
  <c r="D152" i="3"/>
  <c r="C152" i="3"/>
  <c r="D161" i="3"/>
  <c r="F161" i="3"/>
  <c r="E161" i="3"/>
  <c r="H161" i="3"/>
  <c r="G161" i="3"/>
  <c r="C161" i="3"/>
  <c r="D160" i="3"/>
  <c r="F160" i="3"/>
  <c r="H160" i="3"/>
  <c r="C160" i="3"/>
  <c r="G160" i="3"/>
  <c r="E160" i="3"/>
  <c r="H151" i="3"/>
  <c r="F151" i="3"/>
  <c r="E151" i="3"/>
  <c r="G151" i="3"/>
  <c r="D151" i="3"/>
  <c r="C151" i="3"/>
  <c r="D165" i="3"/>
  <c r="F165" i="3"/>
  <c r="G165" i="3"/>
  <c r="C165" i="3"/>
  <c r="E165" i="3"/>
  <c r="H165" i="3"/>
  <c r="I167" i="3" l="1"/>
  <c r="I168" i="3"/>
  <c r="I161" i="3"/>
  <c r="I152" i="3"/>
  <c r="I151" i="3"/>
  <c r="I160" i="3"/>
  <c r="I165" i="3"/>
  <c r="F70" i="3" l="1"/>
  <c r="D70" i="3"/>
  <c r="G70" i="3"/>
  <c r="E70" i="3"/>
  <c r="E9" i="5"/>
  <c r="E20" i="5"/>
  <c r="F20" i="5"/>
  <c r="G9" i="5"/>
  <c r="G20" i="5"/>
  <c r="H20" i="5"/>
  <c r="H9" i="3"/>
  <c r="H11" i="3"/>
  <c r="H10" i="3"/>
  <c r="H12" i="3"/>
  <c r="H14" i="3"/>
  <c r="H25" i="3"/>
  <c r="H7" i="3"/>
  <c r="H15" i="3"/>
  <c r="H13" i="3"/>
  <c r="H8" i="3"/>
  <c r="H23" i="3"/>
  <c r="H6" i="3"/>
  <c r="H20" i="3"/>
  <c r="H26" i="3"/>
  <c r="H27" i="3"/>
  <c r="D15" i="92"/>
  <c r="G15" i="92" s="1"/>
  <c r="E15" i="92"/>
  <c r="D16" i="92"/>
  <c r="E16" i="92"/>
  <c r="G62" i="92"/>
  <c r="D65" i="3" s="1"/>
  <c r="G56" i="29"/>
  <c r="H56" i="29"/>
  <c r="L56" i="29"/>
  <c r="O56" i="29"/>
  <c r="F60" i="29"/>
  <c r="J60" i="29"/>
  <c r="N60" i="29"/>
  <c r="J64" i="29"/>
  <c r="N64" i="29"/>
  <c r="O64" i="29"/>
  <c r="P23" i="29"/>
  <c r="P24" i="29"/>
  <c r="P27" i="29"/>
  <c r="P28" i="29"/>
  <c r="P63" i="29"/>
  <c r="H26" i="92" s="1"/>
  <c r="H22" i="3"/>
  <c r="B95" i="3"/>
  <c r="C95" i="3" s="1"/>
  <c r="B96" i="3"/>
  <c r="B97" i="3"/>
  <c r="B98" i="3"/>
  <c r="B99" i="3"/>
  <c r="B100" i="3"/>
  <c r="B101" i="3"/>
  <c r="B102" i="3"/>
  <c r="B103" i="3"/>
  <c r="B104" i="3"/>
  <c r="B105" i="3"/>
  <c r="B106" i="3"/>
  <c r="B107" i="3"/>
  <c r="B108" i="3"/>
  <c r="B109" i="3"/>
  <c r="B110" i="3"/>
  <c r="B111" i="3"/>
  <c r="B112" i="3"/>
  <c r="B114" i="3"/>
  <c r="B115" i="3"/>
  <c r="B116" i="3"/>
  <c r="B117" i="3"/>
  <c r="B123" i="3"/>
  <c r="C123" i="3" s="1"/>
  <c r="B124" i="3"/>
  <c r="B125" i="3"/>
  <c r="B126" i="3"/>
  <c r="B127" i="3"/>
  <c r="B128" i="3"/>
  <c r="B129" i="3"/>
  <c r="B130" i="3"/>
  <c r="B131" i="3"/>
  <c r="B132" i="3"/>
  <c r="B133" i="3"/>
  <c r="B134" i="3"/>
  <c r="B135" i="3"/>
  <c r="B136" i="3"/>
  <c r="B137" i="3"/>
  <c r="B138" i="3"/>
  <c r="B139" i="3"/>
  <c r="B140" i="3"/>
  <c r="D140" i="3" s="1"/>
  <c r="B142" i="3"/>
  <c r="B143" i="3"/>
  <c r="B144" i="3"/>
  <c r="B145" i="3"/>
  <c r="C11" i="134"/>
  <c r="C12" i="134"/>
  <c r="C13" i="134"/>
  <c r="C14" i="134"/>
  <c r="C15" i="134"/>
  <c r="C21" i="134"/>
  <c r="C22" i="134"/>
  <c r="C23" i="134"/>
  <c r="C24" i="134"/>
  <c r="C25" i="134"/>
  <c r="B41" i="134"/>
  <c r="B42" i="134"/>
  <c r="B43" i="134"/>
  <c r="B44" i="134"/>
  <c r="B45" i="134"/>
  <c r="D9" i="5"/>
  <c r="F9" i="5"/>
  <c r="G16" i="92" l="1"/>
  <c r="P19" i="29"/>
  <c r="E42" i="5"/>
  <c r="K64" i="29"/>
  <c r="M60" i="29"/>
  <c r="E60" i="29"/>
  <c r="I60" i="29"/>
  <c r="F64" i="29"/>
  <c r="H12" i="274"/>
  <c r="D12" i="274" s="1"/>
  <c r="D11" i="274" s="1"/>
  <c r="P57" i="29"/>
  <c r="L60" i="29"/>
  <c r="H60" i="29"/>
  <c r="P59" i="29"/>
  <c r="E10" i="89" s="1"/>
  <c r="G12" i="274"/>
  <c r="F56" i="29"/>
  <c r="P32" i="29"/>
  <c r="O60" i="29"/>
  <c r="K60" i="29"/>
  <c r="G60" i="29"/>
  <c r="K56" i="29"/>
  <c r="J56" i="29"/>
  <c r="N56" i="29"/>
  <c r="M56" i="29"/>
  <c r="I56" i="29"/>
  <c r="E56" i="29"/>
  <c r="O66" i="29"/>
  <c r="O55" i="29"/>
  <c r="K66" i="29"/>
  <c r="K55" i="29"/>
  <c r="F66" i="29"/>
  <c r="F55" i="29"/>
  <c r="N66" i="29"/>
  <c r="N55" i="29"/>
  <c r="J66" i="29"/>
  <c r="J55" i="29"/>
  <c r="M66" i="29"/>
  <c r="M55" i="29"/>
  <c r="H66" i="29"/>
  <c r="H55" i="29"/>
  <c r="L66" i="29"/>
  <c r="L55" i="29"/>
  <c r="G66" i="29"/>
  <c r="G55" i="29"/>
  <c r="E66" i="29"/>
  <c r="E55" i="29"/>
  <c r="G42" i="5"/>
  <c r="F42" i="5"/>
  <c r="M64" i="29"/>
  <c r="I64" i="29"/>
  <c r="E64" i="29"/>
  <c r="L64" i="29"/>
  <c r="H64" i="29"/>
  <c r="G64" i="29"/>
  <c r="E140" i="3"/>
  <c r="F140" i="3"/>
  <c r="H140" i="3"/>
  <c r="C140" i="3"/>
  <c r="G140" i="3"/>
  <c r="D132" i="3"/>
  <c r="E132" i="3"/>
  <c r="F132" i="3"/>
  <c r="H132" i="3"/>
  <c r="G132" i="3"/>
  <c r="C132" i="3"/>
  <c r="H124" i="3"/>
  <c r="F124" i="3"/>
  <c r="G124" i="3"/>
  <c r="C124" i="3"/>
  <c r="D124" i="3"/>
  <c r="E124" i="3"/>
  <c r="G139" i="3"/>
  <c r="C139" i="3"/>
  <c r="E139" i="3"/>
  <c r="D139" i="3"/>
  <c r="H139" i="3"/>
  <c r="F139" i="3"/>
  <c r="G123" i="3"/>
  <c r="H123" i="3"/>
  <c r="D123" i="3"/>
  <c r="F123" i="3"/>
  <c r="E123" i="3"/>
  <c r="E114" i="3"/>
  <c r="G114" i="3"/>
  <c r="F114" i="3"/>
  <c r="C114" i="3"/>
  <c r="D114" i="3"/>
  <c r="H114" i="3"/>
  <c r="D109" i="3"/>
  <c r="H109" i="3"/>
  <c r="F109" i="3"/>
  <c r="E109" i="3"/>
  <c r="C109" i="3"/>
  <c r="G109" i="3"/>
  <c r="D105" i="3"/>
  <c r="H105" i="3"/>
  <c r="C105" i="3"/>
  <c r="E105" i="3"/>
  <c r="F105" i="3"/>
  <c r="G105" i="3"/>
  <c r="P20" i="29"/>
  <c r="E112" i="3"/>
  <c r="D112" i="3"/>
  <c r="H112" i="3"/>
  <c r="C112" i="3"/>
  <c r="F112" i="3"/>
  <c r="G112" i="3"/>
  <c r="D104" i="3"/>
  <c r="G104" i="3"/>
  <c r="F104" i="3"/>
  <c r="E104" i="3"/>
  <c r="C104" i="3"/>
  <c r="H104" i="3"/>
  <c r="G96" i="3"/>
  <c r="E96" i="3"/>
  <c r="D96" i="3"/>
  <c r="F96" i="3"/>
  <c r="H96" i="3"/>
  <c r="C96" i="3"/>
  <c r="E142" i="3"/>
  <c r="G142" i="3"/>
  <c r="C142" i="3"/>
  <c r="F142" i="3"/>
  <c r="H142" i="3"/>
  <c r="D142" i="3"/>
  <c r="F137" i="3"/>
  <c r="E137" i="3"/>
  <c r="H137" i="3"/>
  <c r="C137" i="3"/>
  <c r="G137" i="3"/>
  <c r="D137" i="3"/>
  <c r="D133" i="3"/>
  <c r="F133" i="3"/>
  <c r="E133" i="3"/>
  <c r="C133" i="3"/>
  <c r="H133" i="3"/>
  <c r="G133" i="3"/>
  <c r="F111" i="3"/>
  <c r="C111" i="3"/>
  <c r="D111" i="3"/>
  <c r="G111" i="3"/>
  <c r="E111" i="3"/>
  <c r="H111" i="3"/>
  <c r="G95" i="3"/>
  <c r="F95" i="3"/>
  <c r="D95" i="3"/>
  <c r="E95" i="3"/>
  <c r="H95" i="3"/>
  <c r="G46" i="134"/>
  <c r="I46" i="134"/>
  <c r="H46" i="134"/>
  <c r="C13" i="14"/>
  <c r="H32" i="92"/>
  <c r="I70" i="3"/>
  <c r="I80" i="3"/>
  <c r="P31" i="29"/>
  <c r="I60" i="5"/>
  <c r="E13" i="138"/>
  <c r="G18" i="138" s="1"/>
  <c r="F29" i="95" s="1"/>
  <c r="J114" i="274" s="1"/>
  <c r="G112" i="274" s="1"/>
  <c r="G11" i="138"/>
  <c r="D10" i="134"/>
  <c r="I68" i="5"/>
  <c r="H9" i="5"/>
  <c r="C9" i="5"/>
  <c r="C42" i="5" s="1"/>
  <c r="D20" i="5"/>
  <c r="D42" i="5" s="1"/>
  <c r="C43" i="134"/>
  <c r="C41" i="134"/>
  <c r="C39" i="134"/>
  <c r="I62" i="5"/>
  <c r="C63" i="5" s="1"/>
  <c r="C44" i="134"/>
  <c r="P35" i="29"/>
  <c r="P36" i="29"/>
  <c r="I70" i="5"/>
  <c r="P26" i="29"/>
  <c r="P21" i="29"/>
  <c r="P61" i="29" l="1"/>
  <c r="P65" i="29"/>
  <c r="D46" i="14"/>
  <c r="D33" i="14"/>
  <c r="C46" i="134"/>
  <c r="I66" i="3" s="1"/>
  <c r="D67" i="3" s="1"/>
  <c r="D74" i="274"/>
  <c r="F12" i="274"/>
  <c r="C12" i="274"/>
  <c r="C11" i="274" s="1"/>
  <c r="J12" i="274"/>
  <c r="H112" i="274"/>
  <c r="J112" i="274"/>
  <c r="I112" i="274"/>
  <c r="E12" i="89"/>
  <c r="H9" i="274"/>
  <c r="D9" i="274" s="1"/>
  <c r="D8" i="274" s="1"/>
  <c r="G9" i="274"/>
  <c r="P60" i="29"/>
  <c r="H19" i="274"/>
  <c r="D19" i="274" s="1"/>
  <c r="D18" i="274" s="1"/>
  <c r="D72" i="274" s="1"/>
  <c r="P55" i="29"/>
  <c r="E9" i="89" s="1"/>
  <c r="E21" i="89" s="1"/>
  <c r="G16" i="274"/>
  <c r="C16" i="274" s="1"/>
  <c r="C15" i="274" s="1"/>
  <c r="C19" i="274"/>
  <c r="C18" i="274" s="1"/>
  <c r="C72" i="274" s="1"/>
  <c r="P56" i="29"/>
  <c r="E8" i="89" s="1"/>
  <c r="H42" i="5"/>
  <c r="E15" i="89"/>
  <c r="P64" i="29"/>
  <c r="E14" i="89" s="1"/>
  <c r="E20" i="89" s="1"/>
  <c r="H40" i="134"/>
  <c r="G40" i="134"/>
  <c r="E13" i="89"/>
  <c r="I109" i="3"/>
  <c r="I114" i="3"/>
  <c r="I137" i="3"/>
  <c r="I96" i="3"/>
  <c r="I104" i="3"/>
  <c r="I112" i="3"/>
  <c r="I105" i="3"/>
  <c r="I139" i="3"/>
  <c r="I132" i="3"/>
  <c r="I111" i="3"/>
  <c r="I142" i="3"/>
  <c r="I95" i="3"/>
  <c r="I133" i="3"/>
  <c r="I123" i="3"/>
  <c r="I124" i="3"/>
  <c r="I140" i="3"/>
  <c r="D71" i="3"/>
  <c r="G71" i="3"/>
  <c r="P66" i="29"/>
  <c r="F27" i="95"/>
  <c r="J110" i="274" s="1"/>
  <c r="C45" i="89"/>
  <c r="C35" i="89"/>
  <c r="C20" i="134"/>
  <c r="E40" i="134"/>
  <c r="D40" i="134"/>
  <c r="C14" i="14"/>
  <c r="H50" i="92"/>
  <c r="F61" i="5"/>
  <c r="G61" i="5"/>
  <c r="H61" i="5"/>
  <c r="C61" i="5"/>
  <c r="D61" i="5"/>
  <c r="E61" i="5"/>
  <c r="F63" i="5"/>
  <c r="D63" i="5"/>
  <c r="G63" i="5"/>
  <c r="E63" i="5"/>
  <c r="H63" i="5"/>
  <c r="D69" i="5"/>
  <c r="E69" i="5"/>
  <c r="E71" i="3"/>
  <c r="F71" i="3"/>
  <c r="C71" i="3"/>
  <c r="I53" i="3"/>
  <c r="I43" i="3"/>
  <c r="I51" i="3"/>
  <c r="I44" i="3"/>
  <c r="C10" i="134"/>
  <c r="G29" i="95"/>
  <c r="E26" i="14"/>
  <c r="C65" i="3"/>
  <c r="E16" i="89"/>
  <c r="E22" i="89" s="1"/>
  <c r="E17" i="89"/>
  <c r="E23" i="89" s="1"/>
  <c r="E18" i="89"/>
  <c r="E24" i="89" s="1"/>
  <c r="E11" i="14"/>
  <c r="E16" i="14" s="1"/>
  <c r="E15" i="14"/>
  <c r="F69" i="5"/>
  <c r="H69" i="5"/>
  <c r="G69" i="5"/>
  <c r="C69" i="5"/>
  <c r="I40" i="134"/>
  <c r="F40" i="134"/>
  <c r="C71" i="5"/>
  <c r="G71" i="5"/>
  <c r="D71" i="5"/>
  <c r="F71" i="5"/>
  <c r="E71" i="5"/>
  <c r="H71" i="5"/>
  <c r="C21" i="89"/>
  <c r="E28" i="14" l="1"/>
  <c r="K112" i="274"/>
  <c r="C74" i="274"/>
  <c r="F18" i="274"/>
  <c r="F11" i="274"/>
  <c r="F74" i="274" s="1"/>
  <c r="D14" i="274"/>
  <c r="F9" i="274"/>
  <c r="J9" i="274"/>
  <c r="G108" i="274"/>
  <c r="H108" i="274"/>
  <c r="I108" i="274"/>
  <c r="J108" i="274"/>
  <c r="C9" i="274"/>
  <c r="C8" i="274" s="1"/>
  <c r="C14" i="274" s="1"/>
  <c r="J19" i="274"/>
  <c r="F19" i="274"/>
  <c r="J16" i="274"/>
  <c r="F16" i="274"/>
  <c r="C67" i="3"/>
  <c r="H72" i="3" s="1"/>
  <c r="E30" i="89"/>
  <c r="G27" i="95"/>
  <c r="C15" i="14"/>
  <c r="C40" i="134"/>
  <c r="I61" i="5"/>
  <c r="I69" i="5"/>
  <c r="C16" i="14"/>
  <c r="C9" i="89"/>
  <c r="I71" i="5"/>
  <c r="I63" i="5"/>
  <c r="I65" i="3"/>
  <c r="I67" i="3" s="1"/>
  <c r="I71" i="3"/>
  <c r="H21" i="92"/>
  <c r="E11" i="89"/>
  <c r="E48" i="89" s="1"/>
  <c r="H23" i="92"/>
  <c r="H25" i="92"/>
  <c r="E9" i="14"/>
  <c r="E14" i="14" s="1"/>
  <c r="H22" i="92"/>
  <c r="E8" i="14"/>
  <c r="E13" i="14" s="1"/>
  <c r="H49" i="3" l="1"/>
  <c r="H41" i="3"/>
  <c r="H42" i="3"/>
  <c r="H47" i="3"/>
  <c r="G72" i="3"/>
  <c r="H54" i="3"/>
  <c r="H171" i="3" s="1"/>
  <c r="H37" i="3"/>
  <c r="H154" i="3" s="1"/>
  <c r="H45" i="3"/>
  <c r="H162" i="3" s="1"/>
  <c r="H38" i="3"/>
  <c r="H155" i="3" s="1"/>
  <c r="H36" i="3"/>
  <c r="H153" i="3" s="1"/>
  <c r="H56" i="3"/>
  <c r="H173" i="3" s="1"/>
  <c r="H39" i="3"/>
  <c r="H156" i="3" s="1"/>
  <c r="H46" i="3"/>
  <c r="H163" i="3" s="1"/>
  <c r="H55" i="3"/>
  <c r="H172" i="3" s="1"/>
  <c r="H40" i="3"/>
  <c r="H157" i="3" s="1"/>
  <c r="F72" i="274"/>
  <c r="D29" i="14"/>
  <c r="F30" i="14" s="1"/>
  <c r="F31" i="14" s="1"/>
  <c r="F23" i="95" s="1"/>
  <c r="K108" i="274"/>
  <c r="F8" i="274"/>
  <c r="E17" i="14"/>
  <c r="E25" i="89"/>
  <c r="E28" i="89" s="1"/>
  <c r="E27" i="89"/>
  <c r="E38" i="89" s="1"/>
  <c r="C31" i="92"/>
  <c r="C38" i="92"/>
  <c r="C72" i="3"/>
  <c r="H24" i="92"/>
  <c r="C8" i="89"/>
  <c r="G42" i="3" l="1"/>
  <c r="G47" i="3"/>
  <c r="G41" i="3"/>
  <c r="G49" i="3"/>
  <c r="H158" i="3"/>
  <c r="H130" i="3"/>
  <c r="H102" i="3"/>
  <c r="C42" i="3"/>
  <c r="C47" i="3"/>
  <c r="C41" i="3"/>
  <c r="C49" i="3"/>
  <c r="H164" i="3"/>
  <c r="H108" i="3"/>
  <c r="H136" i="3"/>
  <c r="H159" i="3"/>
  <c r="H131" i="3"/>
  <c r="H103" i="3"/>
  <c r="H166" i="3"/>
  <c r="H110" i="3"/>
  <c r="H138" i="3"/>
  <c r="C54" i="3"/>
  <c r="C171" i="3" s="1"/>
  <c r="C55" i="3"/>
  <c r="C56" i="3"/>
  <c r="C39" i="3"/>
  <c r="C36" i="3"/>
  <c r="C37" i="3"/>
  <c r="C45" i="3"/>
  <c r="C40" i="3"/>
  <c r="C38" i="3"/>
  <c r="C46" i="3"/>
  <c r="G56" i="3"/>
  <c r="G173" i="3" s="1"/>
  <c r="G39" i="3"/>
  <c r="G156" i="3" s="1"/>
  <c r="G45" i="3"/>
  <c r="G162" i="3" s="1"/>
  <c r="G36" i="3"/>
  <c r="G153" i="3" s="1"/>
  <c r="G54" i="3"/>
  <c r="G171" i="3" s="1"/>
  <c r="G55" i="3"/>
  <c r="G172" i="3" s="1"/>
  <c r="G37" i="3"/>
  <c r="G154" i="3" s="1"/>
  <c r="G40" i="3"/>
  <c r="G157" i="3" s="1"/>
  <c r="G46" i="3"/>
  <c r="G163" i="3" s="1"/>
  <c r="G38" i="3"/>
  <c r="G155" i="3" s="1"/>
  <c r="G142" i="274"/>
  <c r="F14" i="5" s="1"/>
  <c r="H142" i="274"/>
  <c r="F25" i="5" s="1"/>
  <c r="F14" i="274"/>
  <c r="F29" i="89"/>
  <c r="F36" i="89" s="1"/>
  <c r="G23" i="95"/>
  <c r="H29" i="92"/>
  <c r="H40" i="92" s="1"/>
  <c r="H27" i="92"/>
  <c r="H30" i="92" s="1"/>
  <c r="C34" i="92"/>
  <c r="C10" i="89"/>
  <c r="H106" i="3"/>
  <c r="H134" i="3"/>
  <c r="H107" i="3"/>
  <c r="H135" i="3"/>
  <c r="H99" i="3"/>
  <c r="H127" i="3"/>
  <c r="H101" i="3"/>
  <c r="H129" i="3"/>
  <c r="H97" i="3"/>
  <c r="H125" i="3"/>
  <c r="H145" i="3"/>
  <c r="H117" i="3"/>
  <c r="H98" i="3"/>
  <c r="H126" i="3"/>
  <c r="H143" i="3"/>
  <c r="H115" i="3"/>
  <c r="H144" i="3"/>
  <c r="H116" i="3"/>
  <c r="H128" i="3"/>
  <c r="H100" i="3"/>
  <c r="D72" i="3"/>
  <c r="F72" i="3"/>
  <c r="E72" i="3"/>
  <c r="E31" i="89"/>
  <c r="F32" i="89" s="1"/>
  <c r="H174" i="3" l="1"/>
  <c r="H32" i="5" s="1"/>
  <c r="C115" i="3"/>
  <c r="G135" i="3"/>
  <c r="D49" i="3"/>
  <c r="D47" i="3"/>
  <c r="D41" i="3"/>
  <c r="D42" i="3"/>
  <c r="G158" i="3"/>
  <c r="G130" i="3"/>
  <c r="G102" i="3"/>
  <c r="F54" i="3"/>
  <c r="F171" i="3" s="1"/>
  <c r="F42" i="3"/>
  <c r="F49" i="3"/>
  <c r="F47" i="3"/>
  <c r="F41" i="3"/>
  <c r="C158" i="3"/>
  <c r="C130" i="3"/>
  <c r="C102" i="3"/>
  <c r="C164" i="3"/>
  <c r="C108" i="3"/>
  <c r="C136" i="3"/>
  <c r="G166" i="3"/>
  <c r="G110" i="3"/>
  <c r="G138" i="3"/>
  <c r="G164" i="3"/>
  <c r="G136" i="3"/>
  <c r="G108" i="3"/>
  <c r="E47" i="3"/>
  <c r="E41" i="3"/>
  <c r="E49" i="3"/>
  <c r="E42" i="3"/>
  <c r="C166" i="3"/>
  <c r="C110" i="3"/>
  <c r="C138" i="3"/>
  <c r="C159" i="3"/>
  <c r="C131" i="3"/>
  <c r="C103" i="3"/>
  <c r="G107" i="3"/>
  <c r="G159" i="3"/>
  <c r="G103" i="3"/>
  <c r="G131" i="3"/>
  <c r="E56" i="3"/>
  <c r="E173" i="3" s="1"/>
  <c r="E54" i="3"/>
  <c r="E171" i="3" s="1"/>
  <c r="E55" i="3"/>
  <c r="E172" i="3" s="1"/>
  <c r="D55" i="3"/>
  <c r="D172" i="3" s="1"/>
  <c r="D56" i="3"/>
  <c r="D173" i="3" s="1"/>
  <c r="D54" i="3"/>
  <c r="D171" i="3" s="1"/>
  <c r="G101" i="3"/>
  <c r="G129" i="3"/>
  <c r="G99" i="3"/>
  <c r="G127" i="3"/>
  <c r="G126" i="3"/>
  <c r="G98" i="3"/>
  <c r="E46" i="3"/>
  <c r="E163" i="3" s="1"/>
  <c r="E36" i="3"/>
  <c r="E153" i="3" s="1"/>
  <c r="E38" i="3"/>
  <c r="E39" i="3"/>
  <c r="E156" i="3" s="1"/>
  <c r="E45" i="3"/>
  <c r="E162" i="3" s="1"/>
  <c r="E37" i="3"/>
  <c r="E154" i="3" s="1"/>
  <c r="E40" i="3"/>
  <c r="E157" i="3" s="1"/>
  <c r="F36" i="3"/>
  <c r="F153" i="3" s="1"/>
  <c r="F56" i="3"/>
  <c r="F173" i="3" s="1"/>
  <c r="F46" i="3"/>
  <c r="F163" i="3" s="1"/>
  <c r="F55" i="3"/>
  <c r="F172" i="3" s="1"/>
  <c r="F38" i="3"/>
  <c r="F155" i="3" s="1"/>
  <c r="F39" i="3"/>
  <c r="F156" i="3" s="1"/>
  <c r="F37" i="3"/>
  <c r="F154" i="3" s="1"/>
  <c r="F45" i="3"/>
  <c r="F162" i="3" s="1"/>
  <c r="F40" i="3"/>
  <c r="F157" i="3" s="1"/>
  <c r="D39" i="3"/>
  <c r="D156" i="3" s="1"/>
  <c r="D45" i="3"/>
  <c r="D162" i="3" s="1"/>
  <c r="D37" i="3"/>
  <c r="D154" i="3" s="1"/>
  <c r="D40" i="3"/>
  <c r="D157" i="3" s="1"/>
  <c r="D38" i="3"/>
  <c r="D155" i="3" s="1"/>
  <c r="D46" i="3"/>
  <c r="D163" i="3" s="1"/>
  <c r="D36" i="3"/>
  <c r="D153" i="3" s="1"/>
  <c r="G97" i="3"/>
  <c r="G115" i="3"/>
  <c r="G134" i="3"/>
  <c r="G143" i="3"/>
  <c r="G117" i="3"/>
  <c r="G125" i="3"/>
  <c r="G145" i="3"/>
  <c r="G100" i="3"/>
  <c r="G106" i="3"/>
  <c r="G116" i="3"/>
  <c r="G144" i="3"/>
  <c r="G128" i="3"/>
  <c r="C143" i="3"/>
  <c r="F14" i="92"/>
  <c r="J142" i="274"/>
  <c r="C100" i="3"/>
  <c r="C156" i="3"/>
  <c r="C116" i="3"/>
  <c r="C172" i="3"/>
  <c r="C101" i="3"/>
  <c r="C157" i="3"/>
  <c r="C117" i="3"/>
  <c r="C173" i="3"/>
  <c r="C127" i="3"/>
  <c r="C155" i="3"/>
  <c r="C98" i="3"/>
  <c r="C154" i="3"/>
  <c r="C134" i="3"/>
  <c r="C162" i="3"/>
  <c r="C97" i="3"/>
  <c r="C153" i="3"/>
  <c r="C107" i="3"/>
  <c r="C163" i="3"/>
  <c r="C126" i="3"/>
  <c r="C125" i="3"/>
  <c r="C135" i="3"/>
  <c r="H33" i="92"/>
  <c r="I34" i="92" s="1"/>
  <c r="I48" i="92" s="1"/>
  <c r="C99" i="3"/>
  <c r="C145" i="3"/>
  <c r="C39" i="92"/>
  <c r="C128" i="3"/>
  <c r="C144" i="3"/>
  <c r="C129" i="3"/>
  <c r="C106" i="3"/>
  <c r="C41" i="92"/>
  <c r="C49" i="92"/>
  <c r="F46" i="89"/>
  <c r="I31" i="92"/>
  <c r="I38" i="92" s="1"/>
  <c r="C11" i="89"/>
  <c r="H146" i="3"/>
  <c r="H21" i="5" s="1"/>
  <c r="I72" i="3"/>
  <c r="C32" i="92"/>
  <c r="C20" i="89"/>
  <c r="I49" i="3" l="1"/>
  <c r="I41" i="3"/>
  <c r="I171" i="3"/>
  <c r="G174" i="3"/>
  <c r="G32" i="5" s="1"/>
  <c r="F166" i="3"/>
  <c r="F110" i="3"/>
  <c r="F138" i="3"/>
  <c r="D159" i="3"/>
  <c r="D131" i="3"/>
  <c r="D103" i="3"/>
  <c r="E159" i="3"/>
  <c r="E131" i="3"/>
  <c r="E103" i="3"/>
  <c r="E166" i="3"/>
  <c r="E110" i="3"/>
  <c r="E138" i="3"/>
  <c r="I138" i="3" s="1"/>
  <c r="D158" i="3"/>
  <c r="D130" i="3"/>
  <c r="D102" i="3"/>
  <c r="F158" i="3"/>
  <c r="F130" i="3"/>
  <c r="F102" i="3"/>
  <c r="F164" i="3"/>
  <c r="F136" i="3"/>
  <c r="F108" i="3"/>
  <c r="F159" i="3"/>
  <c r="F131" i="3"/>
  <c r="F103" i="3"/>
  <c r="D164" i="3"/>
  <c r="I164" i="3" s="1"/>
  <c r="D136" i="3"/>
  <c r="D108" i="3"/>
  <c r="I108" i="3" s="1"/>
  <c r="E158" i="3"/>
  <c r="E102" i="3"/>
  <c r="E130" i="3"/>
  <c r="E164" i="3"/>
  <c r="E108" i="3"/>
  <c r="E136" i="3"/>
  <c r="I42" i="3"/>
  <c r="I47" i="3"/>
  <c r="D166" i="3"/>
  <c r="D138" i="3"/>
  <c r="D110" i="3"/>
  <c r="G146" i="3"/>
  <c r="G21" i="5" s="1"/>
  <c r="K142" i="274"/>
  <c r="I163" i="3"/>
  <c r="I173" i="3"/>
  <c r="E99" i="3"/>
  <c r="E155" i="3"/>
  <c r="I155" i="3" s="1"/>
  <c r="I153" i="3"/>
  <c r="C174" i="3"/>
  <c r="C32" i="5" s="1"/>
  <c r="I162" i="3"/>
  <c r="I157" i="3"/>
  <c r="I156" i="3"/>
  <c r="I172" i="3"/>
  <c r="I154" i="3"/>
  <c r="F47" i="5"/>
  <c r="C146" i="3"/>
  <c r="C51" i="92"/>
  <c r="C12" i="89"/>
  <c r="E106" i="3"/>
  <c r="E134" i="3"/>
  <c r="F115" i="3"/>
  <c r="F143" i="3"/>
  <c r="D144" i="3"/>
  <c r="D116" i="3"/>
  <c r="E98" i="3"/>
  <c r="E126" i="3"/>
  <c r="F99" i="3"/>
  <c r="F127" i="3"/>
  <c r="D143" i="3"/>
  <c r="D115" i="3"/>
  <c r="D135" i="3"/>
  <c r="D107" i="3"/>
  <c r="I46" i="3"/>
  <c r="E125" i="3"/>
  <c r="E97" i="3"/>
  <c r="E101" i="3"/>
  <c r="E129" i="3"/>
  <c r="F98" i="3"/>
  <c r="F126" i="3"/>
  <c r="F145" i="3"/>
  <c r="F117" i="3"/>
  <c r="D100" i="3"/>
  <c r="D128" i="3"/>
  <c r="D106" i="3"/>
  <c r="D134" i="3"/>
  <c r="D127" i="3"/>
  <c r="D99" i="3"/>
  <c r="E107" i="3"/>
  <c r="E135" i="3"/>
  <c r="E128" i="3"/>
  <c r="E100" i="3"/>
  <c r="F107" i="3"/>
  <c r="F135" i="3"/>
  <c r="F129" i="3"/>
  <c r="F101" i="3"/>
  <c r="D97" i="3"/>
  <c r="D125" i="3"/>
  <c r="E127" i="3"/>
  <c r="F106" i="3"/>
  <c r="F134" i="3"/>
  <c r="F125" i="3"/>
  <c r="F97" i="3"/>
  <c r="D117" i="3"/>
  <c r="D145" i="3"/>
  <c r="E115" i="3"/>
  <c r="E143" i="3"/>
  <c r="E144" i="3"/>
  <c r="E116" i="3"/>
  <c r="E145" i="3"/>
  <c r="E117" i="3"/>
  <c r="F144" i="3"/>
  <c r="F116" i="3"/>
  <c r="F100" i="3"/>
  <c r="F128" i="3"/>
  <c r="D101" i="3"/>
  <c r="D129" i="3"/>
  <c r="D98" i="3"/>
  <c r="D126" i="3"/>
  <c r="I39" i="3"/>
  <c r="I37" i="3"/>
  <c r="I38" i="3"/>
  <c r="I45" i="3"/>
  <c r="I56" i="3"/>
  <c r="I55" i="3"/>
  <c r="I40" i="3"/>
  <c r="I54" i="3"/>
  <c r="I36" i="3"/>
  <c r="C22" i="89"/>
  <c r="H118" i="3"/>
  <c r="H10" i="5" s="1"/>
  <c r="I103" i="3" l="1"/>
  <c r="F174" i="3"/>
  <c r="F32" i="5" s="1"/>
  <c r="I159" i="3"/>
  <c r="I131" i="3"/>
  <c r="I110" i="3"/>
  <c r="D174" i="3"/>
  <c r="D32" i="5" s="1"/>
  <c r="I136" i="3"/>
  <c r="I102" i="3"/>
  <c r="I158" i="3"/>
  <c r="I130" i="3"/>
  <c r="I166" i="3"/>
  <c r="E174" i="3"/>
  <c r="E32" i="5" s="1"/>
  <c r="H43" i="5"/>
  <c r="I97" i="3"/>
  <c r="I101" i="3"/>
  <c r="I127" i="3"/>
  <c r="I100" i="3"/>
  <c r="I115" i="3"/>
  <c r="I116" i="3"/>
  <c r="I98" i="3"/>
  <c r="I117" i="3"/>
  <c r="C13" i="89"/>
  <c r="I129" i="3"/>
  <c r="D146" i="3"/>
  <c r="D21" i="5" s="1"/>
  <c r="I125" i="3"/>
  <c r="I134" i="3"/>
  <c r="I143" i="3"/>
  <c r="I144" i="3"/>
  <c r="F146" i="3"/>
  <c r="F21" i="5" s="1"/>
  <c r="E146" i="3"/>
  <c r="E21" i="5" s="1"/>
  <c r="I106" i="3"/>
  <c r="I107" i="3"/>
  <c r="I126" i="3"/>
  <c r="I145" i="3"/>
  <c r="I99" i="3"/>
  <c r="I128" i="3"/>
  <c r="I135" i="3"/>
  <c r="C21" i="5"/>
  <c r="C118" i="3"/>
  <c r="C10" i="5" s="1"/>
  <c r="E14" i="92"/>
  <c r="C19" i="14"/>
  <c r="F118" i="3"/>
  <c r="F10" i="5" s="1"/>
  <c r="E118" i="3"/>
  <c r="E10" i="5" s="1"/>
  <c r="D118" i="3"/>
  <c r="D10" i="5" s="1"/>
  <c r="I174" i="3" l="1"/>
  <c r="D34" i="14"/>
  <c r="D35" i="14" s="1"/>
  <c r="F39" i="14" s="1"/>
  <c r="D47" i="14"/>
  <c r="D48" i="14" s="1"/>
  <c r="E43" i="5"/>
  <c r="C43" i="5"/>
  <c r="D43" i="5"/>
  <c r="C23" i="89"/>
  <c r="C24" i="89"/>
  <c r="C14" i="89"/>
  <c r="I146" i="3"/>
  <c r="I118" i="3"/>
  <c r="G118" i="3"/>
  <c r="G10" i="5" s="1"/>
  <c r="C46" i="14"/>
  <c r="D14" i="92"/>
  <c r="C33" i="92"/>
  <c r="F51" i="14" l="1"/>
  <c r="F40" i="14"/>
  <c r="E44" i="14"/>
  <c r="G14" i="92"/>
  <c r="G43" i="5"/>
  <c r="F43" i="5"/>
  <c r="C20" i="14"/>
  <c r="C15" i="89"/>
  <c r="C30" i="89"/>
  <c r="F25" i="95" l="1"/>
  <c r="C47" i="89"/>
  <c r="C8" i="14"/>
  <c r="F18" i="95"/>
  <c r="J45" i="274" s="1"/>
  <c r="G43" i="274" s="1"/>
  <c r="F13" i="5" s="1"/>
  <c r="F42" i="14"/>
  <c r="F20" i="95" s="1"/>
  <c r="F43" i="14"/>
  <c r="F41" i="14"/>
  <c r="F19" i="95" s="1"/>
  <c r="I43" i="274" l="1"/>
  <c r="F35" i="5" s="1"/>
  <c r="F37" i="5" s="1"/>
  <c r="H37" i="5" s="1"/>
  <c r="H43" i="274"/>
  <c r="F24" i="5" s="1"/>
  <c r="F26" i="5" s="1"/>
  <c r="C26" i="5" s="1"/>
  <c r="J43" i="274"/>
  <c r="F15" i="5"/>
  <c r="C26" i="14"/>
  <c r="C36" i="14"/>
  <c r="F21" i="95"/>
  <c r="F46" i="5" l="1"/>
  <c r="E37" i="5"/>
  <c r="G37" i="5"/>
  <c r="G38" i="5" s="1"/>
  <c r="G39" i="5" s="1"/>
  <c r="D37" i="5"/>
  <c r="C37" i="5"/>
  <c r="F17" i="92"/>
  <c r="K43" i="274"/>
  <c r="E15" i="5"/>
  <c r="F48" i="5"/>
  <c r="H26" i="5"/>
  <c r="E17" i="92" s="1"/>
  <c r="E26" i="5"/>
  <c r="C15" i="5"/>
  <c r="D15" i="5"/>
  <c r="G26" i="5"/>
  <c r="G27" i="5" s="1"/>
  <c r="C27" i="5" s="1"/>
  <c r="C28" i="5" s="1"/>
  <c r="D141" i="274" s="1"/>
  <c r="D26" i="5"/>
  <c r="E38" i="5" l="1"/>
  <c r="E39" i="5" s="1"/>
  <c r="D38" i="5"/>
  <c r="D39" i="5" s="1"/>
  <c r="H38" i="5"/>
  <c r="F18" i="92" s="1"/>
  <c r="F19" i="92" s="1"/>
  <c r="C48" i="5"/>
  <c r="F38" i="5"/>
  <c r="F39" i="5" s="1"/>
  <c r="D48" i="5"/>
  <c r="E48" i="5"/>
  <c r="G28" i="5"/>
  <c r="E27" i="5"/>
  <c r="E28" i="5" s="1"/>
  <c r="C28" i="89"/>
  <c r="C31" i="89"/>
  <c r="D27" i="5"/>
  <c r="F27" i="5"/>
  <c r="F28" i="5" s="1"/>
  <c r="H27" i="5"/>
  <c r="H39" i="5" l="1"/>
  <c r="E18" i="92"/>
  <c r="E19" i="92" s="1"/>
  <c r="H28" i="5"/>
  <c r="C48" i="92"/>
  <c r="H141" i="274" l="1"/>
  <c r="H143" i="274" s="1"/>
  <c r="C36" i="89"/>
  <c r="C29" i="89"/>
  <c r="C28" i="14"/>
  <c r="C6" i="14" l="1"/>
  <c r="C32" i="89" l="1"/>
  <c r="C37" i="89"/>
  <c r="C29" i="14"/>
  <c r="C40" i="89" l="1"/>
  <c r="C53" i="89"/>
  <c r="C39" i="89"/>
  <c r="C30" i="14"/>
  <c r="C42" i="92" l="1"/>
  <c r="C57" i="92"/>
  <c r="C58" i="92" l="1"/>
  <c r="C49" i="89" l="1"/>
  <c r="C50" i="89"/>
  <c r="C52" i="89"/>
  <c r="C59" i="92"/>
  <c r="C60" i="92" l="1"/>
  <c r="C54" i="89" l="1"/>
  <c r="C35" i="14"/>
  <c r="C61" i="92"/>
  <c r="C52" i="92" l="1"/>
  <c r="C55" i="92" l="1"/>
  <c r="C38" i="14" l="1"/>
  <c r="C39" i="14" l="1"/>
  <c r="C44" i="14" l="1"/>
  <c r="C48" i="14" l="1"/>
  <c r="G15" i="5"/>
  <c r="G48" i="5" s="1"/>
  <c r="H15" i="5"/>
  <c r="H48" i="5" l="1"/>
  <c r="C50" i="14"/>
  <c r="G16" i="5"/>
  <c r="D17" i="92"/>
  <c r="G17" i="92" l="1"/>
  <c r="E16" i="5"/>
  <c r="D16" i="5"/>
  <c r="G17" i="5"/>
  <c r="H16" i="5"/>
  <c r="H17" i="5" s="1"/>
  <c r="F16" i="5"/>
  <c r="C16" i="5"/>
  <c r="C17" i="5" s="1"/>
  <c r="C141" i="274" s="1"/>
  <c r="G141" i="274" l="1"/>
  <c r="F17" i="5"/>
  <c r="E17" i="5"/>
  <c r="D18" i="92"/>
  <c r="D19" i="92" s="1"/>
  <c r="G143" i="274" l="1"/>
  <c r="G18" i="92"/>
  <c r="G19" i="92"/>
  <c r="G37" i="92" l="1"/>
  <c r="G25" i="95" l="1"/>
  <c r="G21" i="95" l="1"/>
  <c r="G20" i="95"/>
  <c r="G19" i="95"/>
  <c r="G18" i="95" l="1"/>
  <c r="D28" i="5" l="1"/>
  <c r="D17" i="5" l="1"/>
  <c r="G39" i="92" l="1"/>
  <c r="J41" i="92" s="1"/>
  <c r="J57" i="92" l="1"/>
  <c r="J42" i="92"/>
  <c r="J58" i="92" s="1"/>
  <c r="J44" i="92"/>
  <c r="J60" i="92" s="1"/>
  <c r="G47" i="92"/>
  <c r="G49" i="92" s="1"/>
  <c r="J51" i="92" s="1"/>
  <c r="J52" i="92" s="1"/>
  <c r="J45" i="92"/>
  <c r="J61" i="92" s="1"/>
  <c r="J43" i="92"/>
  <c r="J59" i="92" s="1"/>
  <c r="J55" i="92" l="1"/>
  <c r="F32" i="95"/>
  <c r="J13" i="274" s="1"/>
  <c r="F35" i="95"/>
  <c r="F36" i="95"/>
  <c r="F34" i="95"/>
  <c r="F37" i="95"/>
  <c r="G11" i="274" l="1"/>
  <c r="I11" i="274"/>
  <c r="J11" i="274"/>
  <c r="J63" i="274"/>
  <c r="J32" i="274"/>
  <c r="J61" i="274"/>
  <c r="J30" i="274"/>
  <c r="J34" i="274"/>
  <c r="J65" i="274"/>
  <c r="H11" i="274"/>
  <c r="J20" i="274"/>
  <c r="J51" i="274"/>
  <c r="G32" i="95"/>
  <c r="G36" i="95"/>
  <c r="G37" i="95"/>
  <c r="G34" i="95"/>
  <c r="G35" i="95"/>
  <c r="E59" i="274" l="1"/>
  <c r="G74" i="274"/>
  <c r="I74" i="274"/>
  <c r="H74" i="274"/>
  <c r="I49" i="274"/>
  <c r="G49" i="274"/>
  <c r="H49" i="274"/>
  <c r="J49" i="274"/>
  <c r="I18" i="274"/>
  <c r="G18" i="274"/>
  <c r="H18" i="274"/>
  <c r="J18" i="274"/>
  <c r="I28" i="274"/>
  <c r="J74" i="274"/>
  <c r="K74" i="274" s="1"/>
  <c r="K11" i="274"/>
  <c r="I59" i="274"/>
  <c r="E68" i="274" l="1"/>
  <c r="E69" i="274" s="1"/>
  <c r="E73" i="274"/>
  <c r="E75" i="274" s="1"/>
  <c r="E103" i="274" s="1"/>
  <c r="E104" i="274" s="1"/>
  <c r="E66" i="274"/>
  <c r="I38" i="274"/>
  <c r="I72" i="274"/>
  <c r="G72" i="274"/>
  <c r="K49" i="274"/>
  <c r="H72" i="274"/>
  <c r="I73" i="274"/>
  <c r="J72" i="274"/>
  <c r="K18" i="274"/>
  <c r="I68" i="274"/>
  <c r="E115" i="274" l="1"/>
  <c r="I75" i="274"/>
  <c r="K72" i="274"/>
  <c r="E116" i="274" l="1"/>
  <c r="E144" i="274"/>
  <c r="P5" i="30" l="1"/>
  <c r="H10" i="30"/>
  <c r="P10" i="30" s="1"/>
  <c r="H12" i="30"/>
  <c r="P12" i="30" s="1"/>
  <c r="H11" i="30"/>
  <c r="P11" i="30" s="1"/>
  <c r="H42" i="30"/>
  <c r="P42" i="30" s="1"/>
  <c r="H41" i="30"/>
  <c r="P41" i="30" s="1"/>
  <c r="H40" i="30"/>
  <c r="P40" i="30" s="1"/>
  <c r="C79" i="274" l="1"/>
  <c r="C76" i="274" s="1"/>
  <c r="G76" i="274"/>
  <c r="J100" i="274"/>
  <c r="J97" i="274" s="1"/>
  <c r="J96" i="274"/>
  <c r="J93" i="274" s="1"/>
  <c r="F79" i="274"/>
  <c r="C93" i="274"/>
  <c r="G93" i="274"/>
  <c r="C100" i="274"/>
  <c r="C97" i="274" s="1"/>
  <c r="G97" i="274"/>
  <c r="G55" i="274"/>
  <c r="C55" i="274" s="1"/>
  <c r="G62" i="274"/>
  <c r="C62" i="274" s="1"/>
  <c r="G57" i="274"/>
  <c r="C57" i="274" s="1"/>
  <c r="G64" i="274"/>
  <c r="C64" i="274" s="1"/>
  <c r="G60" i="274"/>
  <c r="G53" i="274"/>
  <c r="C53" i="274" s="1"/>
  <c r="G31" i="274"/>
  <c r="C31" i="274" s="1"/>
  <c r="G24" i="274"/>
  <c r="C24" i="274" s="1"/>
  <c r="G33" i="274"/>
  <c r="C33" i="274" s="1"/>
  <c r="G26" i="274"/>
  <c r="C26" i="274" s="1"/>
  <c r="G29" i="274"/>
  <c r="G22" i="274"/>
  <c r="C22" i="274" s="1"/>
  <c r="H49" i="30"/>
  <c r="P49" i="30" s="1"/>
  <c r="H18" i="30"/>
  <c r="P18" i="30" s="1"/>
  <c r="H20" i="30"/>
  <c r="P20" i="30" s="1"/>
  <c r="H50" i="30"/>
  <c r="P50" i="30" s="1"/>
  <c r="P6" i="30"/>
  <c r="H48" i="30"/>
  <c r="P48" i="30" s="1"/>
  <c r="H19" i="30"/>
  <c r="P19" i="30" s="1"/>
  <c r="F96" i="274" l="1"/>
  <c r="F100" i="274"/>
  <c r="D96" i="274"/>
  <c r="D93" i="274" s="1"/>
  <c r="H93" i="274"/>
  <c r="D79" i="274"/>
  <c r="D76" i="274" s="1"/>
  <c r="F76" i="274" s="1"/>
  <c r="H76" i="274"/>
  <c r="D100" i="274"/>
  <c r="D97" i="274" s="1"/>
  <c r="F97" i="274" s="1"/>
  <c r="K97" i="274" s="1"/>
  <c r="H97" i="274"/>
  <c r="J79" i="274"/>
  <c r="J76" i="274" s="1"/>
  <c r="F93" i="274"/>
  <c r="K93" i="274" s="1"/>
  <c r="C52" i="274"/>
  <c r="C67" i="274" s="1"/>
  <c r="C60" i="274"/>
  <c r="C59" i="274" s="1"/>
  <c r="G59" i="274"/>
  <c r="G68" i="274" s="1"/>
  <c r="C29" i="274"/>
  <c r="C28" i="274" s="1"/>
  <c r="G28" i="274"/>
  <c r="G38" i="274" s="1"/>
  <c r="C21" i="274"/>
  <c r="C36" i="274" s="1"/>
  <c r="H64" i="274"/>
  <c r="D64" i="274" s="1"/>
  <c r="H57" i="274"/>
  <c r="H55" i="274"/>
  <c r="D55" i="274" s="1"/>
  <c r="H62" i="274"/>
  <c r="H60" i="274"/>
  <c r="D60" i="274" s="1"/>
  <c r="H53" i="274"/>
  <c r="H24" i="274"/>
  <c r="D24" i="274" s="1"/>
  <c r="H31" i="274"/>
  <c r="H26" i="274"/>
  <c r="F26" i="274" s="1"/>
  <c r="H33" i="274"/>
  <c r="H29" i="274"/>
  <c r="D29" i="274" s="1"/>
  <c r="H22" i="274"/>
  <c r="F22" i="274" s="1"/>
  <c r="J55" i="274" l="1"/>
  <c r="F64" i="274"/>
  <c r="J64" i="274"/>
  <c r="K76" i="274"/>
  <c r="C66" i="274"/>
  <c r="C68" i="274"/>
  <c r="C69" i="274" s="1"/>
  <c r="J60" i="274"/>
  <c r="C35" i="274"/>
  <c r="C38" i="274"/>
  <c r="C73" i="274"/>
  <c r="C75" i="274" s="1"/>
  <c r="C103" i="274" s="1"/>
  <c r="C104" i="274" s="1"/>
  <c r="J53" i="274"/>
  <c r="D53" i="274"/>
  <c r="J57" i="274"/>
  <c r="D57" i="274"/>
  <c r="F29" i="274"/>
  <c r="J26" i="274"/>
  <c r="D26" i="274"/>
  <c r="F60" i="274"/>
  <c r="F62" i="274"/>
  <c r="D62" i="274"/>
  <c r="D59" i="274" s="1"/>
  <c r="J33" i="274"/>
  <c r="D33" i="274"/>
  <c r="F33" i="274"/>
  <c r="F24" i="274"/>
  <c r="F31" i="274"/>
  <c r="D31" i="274"/>
  <c r="J24" i="274"/>
  <c r="J22" i="274"/>
  <c r="D22" i="274"/>
  <c r="F55" i="274"/>
  <c r="J62" i="274"/>
  <c r="H59" i="274"/>
  <c r="H68" i="274" s="1"/>
  <c r="F57" i="274"/>
  <c r="F53" i="274"/>
  <c r="G73" i="274"/>
  <c r="G75" i="274" s="1"/>
  <c r="J31" i="274"/>
  <c r="H28" i="274"/>
  <c r="H38" i="274" s="1"/>
  <c r="J29" i="274"/>
  <c r="J59" i="274" l="1"/>
  <c r="D21" i="274"/>
  <c r="D36" i="274" s="1"/>
  <c r="D52" i="274"/>
  <c r="F52" i="274" s="1"/>
  <c r="D28" i="274"/>
  <c r="F28" i="274" s="1"/>
  <c r="F35" i="274" s="1"/>
  <c r="C40" i="274"/>
  <c r="C115" i="274" s="1"/>
  <c r="D68" i="274"/>
  <c r="F59" i="274"/>
  <c r="F68" i="274" s="1"/>
  <c r="D67" i="274"/>
  <c r="F21" i="274"/>
  <c r="J28" i="274"/>
  <c r="H73" i="274"/>
  <c r="H75" i="274" s="1"/>
  <c r="C116" i="274" l="1"/>
  <c r="C144" i="274"/>
  <c r="J68" i="274"/>
  <c r="K68" i="274" s="1"/>
  <c r="D66" i="274"/>
  <c r="C37" i="274"/>
  <c r="D38" i="274"/>
  <c r="D40" i="274" s="1"/>
  <c r="D37" i="274" s="1"/>
  <c r="D73" i="274"/>
  <c r="D75" i="274" s="1"/>
  <c r="D103" i="274" s="1"/>
  <c r="D104" i="274" s="1"/>
  <c r="F36" i="274"/>
  <c r="J73" i="274"/>
  <c r="J75" i="274" s="1"/>
  <c r="D35" i="274"/>
  <c r="C39" i="274"/>
  <c r="J38" i="274"/>
  <c r="F67" i="274"/>
  <c r="F69" i="274" s="1"/>
  <c r="F66" i="274"/>
  <c r="K28" i="274"/>
  <c r="K59" i="274"/>
  <c r="F38" i="274"/>
  <c r="F73" i="274"/>
  <c r="F75" i="274" s="1"/>
  <c r="F103" i="274" s="1"/>
  <c r="F104" i="274" s="1"/>
  <c r="D69" i="274"/>
  <c r="D115" i="274" l="1"/>
  <c r="F40" i="274"/>
  <c r="F37" i="274" s="1"/>
  <c r="D39" i="274"/>
  <c r="K73" i="274"/>
  <c r="F115" i="274" l="1"/>
  <c r="D116" i="274"/>
  <c r="D144" i="274"/>
  <c r="C38" i="5"/>
  <c r="G49" i="5"/>
  <c r="H49" i="5"/>
  <c r="E49" i="5"/>
  <c r="F49" i="5"/>
  <c r="F50" i="5" s="1"/>
  <c r="D49" i="5"/>
  <c r="C49" i="5" l="1"/>
  <c r="C39" i="5"/>
  <c r="E141" i="274" s="1"/>
  <c r="F141" i="274" s="1"/>
  <c r="F143" i="274" s="1"/>
  <c r="H50" i="5"/>
  <c r="D50" i="5"/>
  <c r="G50" i="5"/>
  <c r="E50" i="5"/>
  <c r="C50" i="5" l="1"/>
  <c r="I141" i="274"/>
  <c r="D6" i="89"/>
  <c r="D45" i="89" s="1"/>
  <c r="D47" i="89" s="1"/>
  <c r="G49" i="89" s="1"/>
  <c r="G50" i="89" s="1"/>
  <c r="D6" i="14"/>
  <c r="F19" i="14" s="1"/>
  <c r="J106" i="274"/>
  <c r="I143" i="274" l="1"/>
  <c r="J141" i="274"/>
  <c r="D35" i="89"/>
  <c r="D37" i="89" s="1"/>
  <c r="D52" i="89"/>
  <c r="F6" i="95"/>
  <c r="F23" i="14"/>
  <c r="F16" i="95" s="1"/>
  <c r="J58" i="274" s="1"/>
  <c r="F21" i="14"/>
  <c r="F14" i="95" s="1"/>
  <c r="J54" i="274" s="1"/>
  <c r="F22" i="14"/>
  <c r="F15" i="95" s="1"/>
  <c r="J56" i="274" s="1"/>
  <c r="F20" i="14"/>
  <c r="F13" i="95" s="1"/>
  <c r="J48" i="274" s="1"/>
  <c r="J10" i="274" l="1"/>
  <c r="H8" i="274" s="1"/>
  <c r="G6" i="95"/>
  <c r="K141" i="274"/>
  <c r="J143" i="274"/>
  <c r="K143" i="274" s="1"/>
  <c r="I52" i="274"/>
  <c r="G52" i="274"/>
  <c r="H52" i="274"/>
  <c r="J52" i="274"/>
  <c r="I46" i="274"/>
  <c r="H46" i="274"/>
  <c r="G46" i="274"/>
  <c r="J46" i="274"/>
  <c r="G39" i="89"/>
  <c r="G40" i="89" s="1"/>
  <c r="G13" i="95"/>
  <c r="G16" i="95"/>
  <c r="G15" i="95"/>
  <c r="G14" i="95"/>
  <c r="F8" i="95" l="1"/>
  <c r="J8" i="274"/>
  <c r="G8" i="274"/>
  <c r="G14" i="274" s="1"/>
  <c r="I8" i="274"/>
  <c r="I14" i="274" s="1"/>
  <c r="K52" i="274"/>
  <c r="H14" i="274"/>
  <c r="G67" i="274"/>
  <c r="G69" i="274" s="1"/>
  <c r="G66" i="274"/>
  <c r="H67" i="274"/>
  <c r="H69" i="274" s="1"/>
  <c r="H66" i="274"/>
  <c r="K46" i="274"/>
  <c r="J67" i="274"/>
  <c r="J66" i="274"/>
  <c r="K66" i="274" s="1"/>
  <c r="I67" i="274"/>
  <c r="I69" i="274" s="1"/>
  <c r="I66" i="274"/>
  <c r="G41" i="89"/>
  <c r="F9" i="95" s="1"/>
  <c r="J23" i="274" s="1"/>
  <c r="G43" i="89"/>
  <c r="F11" i="95" s="1"/>
  <c r="G42" i="89"/>
  <c r="F10" i="95" s="1"/>
  <c r="D53" i="89"/>
  <c r="D54" i="89" s="1"/>
  <c r="G8" i="95" l="1"/>
  <c r="J17" i="274"/>
  <c r="J15" i="274" s="1"/>
  <c r="J14" i="274"/>
  <c r="K14" i="274" s="1"/>
  <c r="K8" i="274"/>
  <c r="G9" i="95"/>
  <c r="K67" i="274"/>
  <c r="J69" i="274"/>
  <c r="K69" i="274" s="1"/>
  <c r="G11" i="95"/>
  <c r="J27" i="274"/>
  <c r="J25" i="274"/>
  <c r="G10" i="95"/>
  <c r="I15" i="274" l="1"/>
  <c r="H15" i="274"/>
  <c r="G15" i="274"/>
  <c r="K15" i="274"/>
  <c r="G21" i="274"/>
  <c r="H21" i="274"/>
  <c r="I21" i="274"/>
  <c r="J21" i="274"/>
  <c r="I35" i="274" l="1"/>
  <c r="J35" i="274"/>
  <c r="K35" i="274" s="1"/>
  <c r="G35" i="274"/>
  <c r="G36" i="274"/>
  <c r="I36" i="274"/>
  <c r="J36" i="274"/>
  <c r="H35" i="274"/>
  <c r="H36" i="274"/>
  <c r="K21" i="274"/>
  <c r="G103" i="274"/>
  <c r="G104" i="274" s="1"/>
  <c r="I103" i="274"/>
  <c r="I104" i="274" s="1"/>
  <c r="I40" i="274" l="1"/>
  <c r="I115" i="274" s="1"/>
  <c r="F39" i="274"/>
  <c r="H103" i="274"/>
  <c r="H104" i="274" s="1"/>
  <c r="G40" i="274" l="1"/>
  <c r="G115" i="274" s="1"/>
  <c r="I37" i="274"/>
  <c r="I144" i="274"/>
  <c r="I39" i="274"/>
  <c r="H40" i="274"/>
  <c r="H115" i="274" s="1"/>
  <c r="K36" i="274"/>
  <c r="J40" i="274"/>
  <c r="G116" i="274" l="1"/>
  <c r="G37" i="274"/>
  <c r="G39" i="274"/>
  <c r="I116" i="274"/>
  <c r="H39" i="274"/>
  <c r="H37" i="274"/>
  <c r="K40" i="274"/>
  <c r="K38" i="274"/>
  <c r="J39" i="274"/>
  <c r="J37" i="274"/>
  <c r="G144" i="274" l="1"/>
  <c r="H116" i="274"/>
  <c r="H144" i="274"/>
  <c r="J103" i="274"/>
  <c r="K75" i="274"/>
  <c r="J104" i="274" l="1"/>
  <c r="J115" i="274" s="1"/>
  <c r="K103" i="274"/>
  <c r="F144" i="274"/>
  <c r="F116" i="274"/>
  <c r="K104" i="274" l="1"/>
  <c r="J116" i="274" l="1"/>
  <c r="K116" i="274" s="1"/>
  <c r="J144" i="274"/>
  <c r="K144" i="274" s="1"/>
  <c r="K115" i="27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2016 Q111" description="Pulls the 2016 Q1 forecast from the TRFA" type="1" refreshedVersion="4" savePassword="1" background="1" saveData="1">
    <dbPr connection="DRIVER=SQL Server Native Client 10.0;SERVER=HSQ0422;UID=REM8114;Trusted_Connection=Yes;APP=Microsoft Office 2010;WSID=CDB257839WIN7;Network=DBMSSOCN;" command="SELECT  _x000d__x000a_            fc.Forecast_Nm,_x000d__x000a_                mth.Fiscal_Year_Nbr,_x000d__x000a_            mth.Fiscal_Month_Nbr,_x000d__x000a_            fpr.Product_Cd,_x000d__x000a_            grp.Product_Group_Nm,_x000d__x000a_            cat.Product_Category_Nm,_x000d__x000a_            co.Company_Peoplesoft_Nbr,_x000d__x000a_        Sum(Round(frm.Revenue_Amt,2)) _x000d__x000a_FROM  RevForecast.dbo.Forecast_Revenue_Month frm_x000d__x000a_join RevForecast.dbo.Company co_x000d__x000a_       on co.Company_Id = frm.Company_Id_x000d__x000a_JOIN RevForecast.dbo.Forecast fc_x000d__x000a_            ON fc.Forecast_Id = frm.Forecast_Id_x000d__x000a_JOIN RevForecast.dbo.Product fpr_x000d__x000a_            ON fpr.Product_Id = frm.Product_Id_x000d__x000a_JOIN RevForecast.dbo.Product_Category cat_x000d__x000a_            ON cat.Product_Category_Id = fpr.Product_Category_Id_x000d__x000a_JOIN RevForecast.dbo.Product_Group grp_x000d__x000a_            ON grp.Product_Group_Id = cat.Product_Group_Id_x000d__x000a_JOIN RevForecast.dbo.Fiscal_Month mth_x000d__x000a_            ON mth.Fiscal_Month_Id = frm.Fiscal_Month_Id_x000d__x000a_WHERE      _x000d__x000a_            fc.Forecast_Nm IN ('RC_INIT_PROP18_16RATES')_x000d__x000a_GROUP By_x000d__x000a_    fc.Forecast_Nm,_x000d__x000a_    co.Company_Peoplesoft_Nbr,_x000d__x000a_    mth.Fiscal_Year_Nbr,_x000d__x000a_    grp.Product_Group_Nm, _x000d__x000a_    cat.Product_Category_Nm, _x000d__x000a_    fpr.Product_Cd,_x000d__x000a_    mth.Fiscal_Month_Nbr_x000d__x000a_"/>
  </connection>
  <connection id="2" xr16:uid="{00000000-0015-0000-FFFF-FFFF01000000}" odcFile="C:\Users\HHS2529\Documents\My Data Sources\HSA2047 EPM Revenue.odc" keepAlive="1" name="HSA2047 EPM Revenue" type="5" refreshedVersion="4" background="1" saveData="1">
    <dbPr connection="Provider=MSOLAP.4;Integrated Security=SSPI;Persist Security Info=True;Initial Catalog=EPM;Data Source=HSA2047;MDX Compatibility=1;Safety Options=2;MDX Missing Member Mode=Error" command="Revenue" commandType="1"/>
    <olapPr sendLocale="1" rowDrillCount="5000"/>
  </connection>
  <connection id="3" xr16:uid="{00000000-0015-0000-FFFF-FFFF02000000}" keepAlive="1" name="PowerPivot Data" description="This connection is used by Excel for communication between the workbook and embedded PowerPivot data, and should not be manually edited or deleted." type="5" refreshedVersion="4">
    <dbPr connection="Provider=MSOLAP.5;Persist Security Info=True;Initial Catalog=Microsoft_SQLServer_AnalysisServices;Data Source=$Embedded$;MDX Compatibility=1;Safety Options=2;ConnectTo=11.0;MDX Missing Member Mode=Error;Optimize Response=3;Cell Error Mode=TextValue" command="Model" commandType="1"/>
    <olapPr sendLocale="1" rowDrillCount="1000"/>
    <extLst>
      <ext xmlns:x14="http://schemas.microsoft.com/office/spreadsheetml/2009/9/main" uri="{D79990A0-CA42-45e3-83F4-45C500A0EAA5}">
        <x14:connection culture="" embeddedDataId="Microsoft_SQLServer_AnalysisServices"/>
      </ext>
    </extLst>
  </connection>
  <connection id="4" xr16:uid="{00000000-0015-0000-FFFF-FFFF03000000}" odcFile="W:\ODBC_DSN\RevForecastHSQ0422.dsn" name="RevForecastHSQ0422" type="1" refreshedVersion="4">
    <dbPr connection="DRIVER=SQL Server Native Client 10.0;SERVER=HSQ0422;UID=DLC5315;Trusted_Connection=Yes;APP=Microsoft Office 2010;WSID=PIHT321;DATABASE=RevForecast;Network=DBMSSOCN;" command="SELECT * FROM &quot;dbo&quot;.&quot;Company&quot;"/>
  </connection>
  <connection id="5" xr16:uid="{00000000-0015-0000-FFFF-FFFF04000000}" odcFile="W:\ODBC_DSN\RevForecastHSQ0422.dsn" name="RevForecastHSQ04221" type="1" refreshedVersion="4">
    <dbPr connection="DRIVER=SQL Server Native Client 10.0;SERVER=HSQ0422;UID=DLC5315;Trusted_Connection=Yes;APP=Microsoft Office 2010;WSID=PIHT321;DATABASE=RevForecast;Network=DBMSSOCN;" command="SELECT * FROM &quot;dbo&quot;.&quot;Product&quot;"/>
  </connection>
  <connection id="6" xr16:uid="{00000000-0015-0000-FFFF-FFFF05000000}" odcFile="W:\ODBC_DSN\RevForecastHSQ0422.dsn" name="RevForecastHSQ04222" type="1" refreshedVersion="4">
    <dbPr connection="DRIVER=SQL Server Native Client 10.0;SERVER=HSQ0422;UID=DLC5315;Trusted_Connection=Yes;APP=Microsoft Office 2010;WSID=CDB257742WIN7;DATABASE=RevForecast;Network=DBMSSOCN;" command="SELECT * FROM &quot;dbo&quot;.&quot;NT_Product&quot;"/>
  </connection>
  <connection id="7" xr16:uid="{00000000-0015-0000-FFFF-FFFF06000000}" odcFile="W:\ODBC_DSN\RevForecastHSQ0422.dsn" name="RevForecastHSQ04223" type="1" refreshedVersion="0" background="1">
    <dbPr connection="DRIVER=SQL Server Native Client 10.0;SERVER=HSQ0422;UID=DLC5315;Trusted_Connection=Yes;APP=Microsoft Office 2010;WSID=CDB257742WIN7;DATABASE=RevForecast;Network=DBMSSOCN;" command="SELECT * FROM &quot;dbo&quot;.&quot;Load_Forecast&quot;"/>
  </connection>
</connections>
</file>

<file path=xl/sharedStrings.xml><?xml version="1.0" encoding="utf-8"?>
<sst xmlns="http://schemas.openxmlformats.org/spreadsheetml/2006/main" count="1267" uniqueCount="502">
  <si>
    <t>(A)</t>
  </si>
  <si>
    <t>(B)</t>
  </si>
  <si>
    <t>(C)</t>
  </si>
  <si>
    <t>(D)</t>
  </si>
  <si>
    <t>(E)</t>
  </si>
  <si>
    <t>(F)</t>
  </si>
  <si>
    <t>(G)</t>
  </si>
  <si>
    <t>(H)</t>
  </si>
  <si>
    <t xml:space="preserve"> </t>
  </si>
  <si>
    <t>Delivery</t>
  </si>
  <si>
    <t>Intertie</t>
  </si>
  <si>
    <t>Ancillary</t>
  </si>
  <si>
    <t>Total</t>
  </si>
  <si>
    <t>Network</t>
  </si>
  <si>
    <t>Southern</t>
  </si>
  <si>
    <t>Eastern</t>
  </si>
  <si>
    <t>Operations &amp; Maintenance</t>
  </si>
  <si>
    <t>Depreciation</t>
  </si>
  <si>
    <t>Transmission Revenue Credit</t>
  </si>
  <si>
    <t>Basis</t>
  </si>
  <si>
    <t>Industrial</t>
  </si>
  <si>
    <t>southern</t>
  </si>
  <si>
    <t>net plant</t>
  </si>
  <si>
    <t>industry</t>
  </si>
  <si>
    <t>network</t>
  </si>
  <si>
    <t>Unadjusted Costs (Table 1)</t>
  </si>
  <si>
    <t>Revenue Credits (Table 2)</t>
  </si>
  <si>
    <t>1/</t>
  </si>
  <si>
    <t>$/kW-mo</t>
  </si>
  <si>
    <t>Growth</t>
  </si>
  <si>
    <t>Source</t>
  </si>
  <si>
    <t>Generation Supplied Reactive</t>
  </si>
  <si>
    <t>(I)</t>
  </si>
  <si>
    <t>(J)</t>
  </si>
  <si>
    <t>(K)</t>
  </si>
  <si>
    <t>Sales</t>
  </si>
  <si>
    <t>Annual</t>
  </si>
  <si>
    <t>Monthly</t>
  </si>
  <si>
    <t>Hourly</t>
  </si>
  <si>
    <t>Energy Imbalance</t>
  </si>
  <si>
    <t>Southern Intertie</t>
  </si>
  <si>
    <t>Total Sales, SCD</t>
  </si>
  <si>
    <t>(L)</t>
  </si>
  <si>
    <t>Montana Intertie</t>
  </si>
  <si>
    <t>Units</t>
  </si>
  <si>
    <t xml:space="preserve">Costs </t>
  </si>
  <si>
    <t>Rates</t>
  </si>
  <si>
    <t>Daily Block1 (day 1 through 5)</t>
  </si>
  <si>
    <t>Daily Block2 (day 6 and beyond)</t>
  </si>
  <si>
    <t xml:space="preserve">Intertie Costs </t>
  </si>
  <si>
    <t>Southern Intertie Sales</t>
  </si>
  <si>
    <t>aMW</t>
  </si>
  <si>
    <t>$/kW-yr</t>
  </si>
  <si>
    <t>$/kW-day</t>
  </si>
  <si>
    <t>Demand</t>
  </si>
  <si>
    <t>Daily Block 1 (day 1 thru 5)</t>
  </si>
  <si>
    <t>Daily Block 2 (day 6 and beyond)</t>
  </si>
  <si>
    <t>mills/kWh</t>
  </si>
  <si>
    <t>Regulation and Frequency Response</t>
  </si>
  <si>
    <t>(M)</t>
  </si>
  <si>
    <t>Transmission Rate Schedule</t>
  </si>
  <si>
    <t>MWs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</si>
  <si>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</si>
  <si>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</si>
  <si>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</si>
  <si>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</si>
  <si>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</si>
  <si>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</si>
  <si>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</si>
  <si>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</si>
  <si>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</si>
  <si>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</si>
  <si>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</si>
  <si>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</si>
  <si>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Short-term Product</t>
  </si>
  <si>
    <t>Monthly/Weekly/Daily Block1</t>
  </si>
  <si>
    <t>Monthly/Weekly/Daily Block2</t>
  </si>
  <si>
    <t>MW-days</t>
  </si>
  <si>
    <t>Planned Net Revenues</t>
  </si>
  <si>
    <t>MWh</t>
  </si>
  <si>
    <t>Net Interest Expense</t>
  </si>
  <si>
    <t>Allocation calculations:</t>
  </si>
  <si>
    <t>PTP SDD</t>
  </si>
  <si>
    <t>UFT</t>
  </si>
  <si>
    <t>Transmission Acquisition &amp; Ancillary Services</t>
  </si>
  <si>
    <t>Total Transmission Revenue Requirement</t>
  </si>
  <si>
    <t>Direct O&amp;M</t>
  </si>
  <si>
    <t>Overheads</t>
  </si>
  <si>
    <t>Total O&amp;M</t>
  </si>
  <si>
    <t>Percent Change</t>
  </si>
  <si>
    <t>Eastern Intertie adjustment</t>
  </si>
  <si>
    <t>FCRTS Investment Base (Net Plant)</t>
  </si>
  <si>
    <t>Percent of Total</t>
  </si>
  <si>
    <t>Percent</t>
  </si>
  <si>
    <t>Allocation for Fiber, Land/ROW, Misc Leases based on Net Plant</t>
  </si>
  <si>
    <t>2.B1-2</t>
  </si>
  <si>
    <t>2.B4-5</t>
  </si>
  <si>
    <t>Percent of total</t>
  </si>
  <si>
    <t>Network Average for Rate Period</t>
  </si>
  <si>
    <t>Rev Rqmt</t>
  </si>
  <si>
    <t>Revenue Credits</t>
  </si>
  <si>
    <t>No Rqmt</t>
  </si>
  <si>
    <t>Eastern Intertie Adjustment</t>
  </si>
  <si>
    <t>(MW)</t>
  </si>
  <si>
    <t>Rate</t>
  </si>
  <si>
    <t>Operating Reserves - Spinning</t>
  </si>
  <si>
    <t>Operating Reserves - Supplemental</t>
  </si>
  <si>
    <t>Service</t>
  </si>
  <si>
    <t>Industry Delivery Adjustment</t>
  </si>
  <si>
    <t>IM Tx Revenues</t>
  </si>
  <si>
    <t>Ancillary Revenues</t>
  </si>
  <si>
    <t>Change</t>
  </si>
  <si>
    <t>IM Sales</t>
  </si>
  <si>
    <t>IM Revenue</t>
  </si>
  <si>
    <t>Other Revenues</t>
  </si>
  <si>
    <t>Generation Imbalance</t>
  </si>
  <si>
    <t>Total Ancillary Revenues</t>
  </si>
  <si>
    <t>Subtotal less SCD</t>
  </si>
  <si>
    <t>Subtotal less Generation Input Ancillaries</t>
  </si>
  <si>
    <t>Eastern Intertie</t>
  </si>
  <si>
    <t>2.B</t>
  </si>
  <si>
    <t>1/ Values based on market and streamflow estimates combined with historical trends</t>
  </si>
  <si>
    <t>Network Short-term</t>
  </si>
  <si>
    <t>a_cp</t>
  </si>
  <si>
    <t>m_cp</t>
  </si>
  <si>
    <t>UFT (per study document)</t>
  </si>
  <si>
    <t>Network Load Service</t>
  </si>
  <si>
    <t>Point to Point (PTP) with SDD</t>
  </si>
  <si>
    <t>O&amp;M (per study document)</t>
  </si>
  <si>
    <t>IE Rate Calculation</t>
  </si>
  <si>
    <t>$000/Yr</t>
  </si>
  <si>
    <t>m_cd</t>
  </si>
  <si>
    <t>PTP reduction (credit) from SDD</t>
  </si>
  <si>
    <t>Table 1</t>
  </si>
  <si>
    <t>Transmission Revenue Requirements</t>
  </si>
  <si>
    <t>Table 2</t>
  </si>
  <si>
    <t>Credit Segmentation Factors</t>
  </si>
  <si>
    <t>Table 3</t>
  </si>
  <si>
    <t>Segmented Revenue Requirement Adjustments</t>
  </si>
  <si>
    <t>($000/yr)</t>
  </si>
  <si>
    <t>Table 4</t>
  </si>
  <si>
    <t>Long-term Transmission Sales</t>
  </si>
  <si>
    <t>Network (PTP only short-term)</t>
  </si>
  <si>
    <t>Short-term Transmission Sales</t>
  </si>
  <si>
    <t>Table 7</t>
  </si>
  <si>
    <t>Segmented Network costs</t>
  </si>
  <si>
    <t>Table 5</t>
  </si>
  <si>
    <t>Total cost allocation sales</t>
  </si>
  <si>
    <t>Network costs</t>
  </si>
  <si>
    <t>Sales used for cost allocation</t>
  </si>
  <si>
    <t>NT reduction (credit) from SDD</t>
  </si>
  <si>
    <t>Annual ($/kW-yr)</t>
  </si>
  <si>
    <t>Monthly ($/kW-mo)</t>
  </si>
  <si>
    <t>Hourly (mills/kWh)</t>
  </si>
  <si>
    <t>IS rate calculation</t>
  </si>
  <si>
    <t>Calculation of Intertie Rates</t>
  </si>
  <si>
    <t>IM rate calculation</t>
  </si>
  <si>
    <t>Annual Costs</t>
  </si>
  <si>
    <t>Table 9</t>
  </si>
  <si>
    <t>Calculation of Ancillary Service Rates</t>
  </si>
  <si>
    <t>Scheduling, System Control &amp; Dispatch</t>
  </si>
  <si>
    <t>/1 See Generation Inputs Study for details about rates associated with Generation Inputs</t>
  </si>
  <si>
    <t>(N)</t>
  </si>
  <si>
    <t>(O)</t>
  </si>
  <si>
    <t>Hourly rate (mills/kWh)</t>
  </si>
  <si>
    <t>TGT Sales</t>
  </si>
  <si>
    <t>Eastern Intertie Costs</t>
  </si>
  <si>
    <t>Montana Intertie Agreement</t>
  </si>
  <si>
    <t>Total Sales</t>
  </si>
  <si>
    <t>BPA Annual Share of Costs</t>
  </si>
  <si>
    <t>2.B57</t>
  </si>
  <si>
    <t>COE/BOR</t>
  </si>
  <si>
    <t>Annual peak (1 CP)</t>
  </si>
  <si>
    <t>Sales Forecast</t>
  </si>
  <si>
    <t>SCD</t>
  </si>
  <si>
    <t>GSR</t>
  </si>
  <si>
    <t>RFR</t>
  </si>
  <si>
    <t>Total Average Rev Rqmt (T1)</t>
  </si>
  <si>
    <t>Ancillary Percent of Total Reqmt</t>
  </si>
  <si>
    <t>*** only SCD/GSR apply for Net Plant</t>
  </si>
  <si>
    <t>Net Plant</t>
  </si>
  <si>
    <t>Percent of total excluding AS</t>
  </si>
  <si>
    <t>Allocation (SCD and GSR only)</t>
  </si>
  <si>
    <t>O&amp;M and COE/BOR</t>
  </si>
  <si>
    <t>NT Coincident with Transmission Peak (CP):</t>
  </si>
  <si>
    <t>NT Coincident with Customer Peak (NCP):</t>
  </si>
  <si>
    <t>Townsend Garrison Transmision is assigned 100% to the Eastern Intertie</t>
  </si>
  <si>
    <t>For an explanation of this change, see memo to the record at http://internal.bpa.gov/sites/BPARateCase/transmission/Shared%20Documents/Memos%20To%20The%20Record/TGT%20Revenues%20Allocation%20Memo.doc</t>
  </si>
  <si>
    <t>m_cd = Monthly Contract Demand (average), i.e. MW-days divided by days in month, MWh divided by hours in month</t>
  </si>
  <si>
    <t>Network Transmission (NT) (Including SDD)</t>
  </si>
  <si>
    <t>Sales allocation percentages:</t>
  </si>
  <si>
    <t>NT Percentage</t>
  </si>
  <si>
    <t>PTP Percentage</t>
  </si>
  <si>
    <t>Total segment costs</t>
  </si>
  <si>
    <t>Allocated NT costs</t>
  </si>
  <si>
    <t>Application of Revenue Requirements to Products:</t>
  </si>
  <si>
    <t>Percentage</t>
  </si>
  <si>
    <t>m_ncp</t>
  </si>
  <si>
    <t>a_ncp</t>
  </si>
  <si>
    <t>m_cd = Monthly Contract Demand;  m_cp = Monthly Coincidental Peak;  a_cp = Annual Coincidental Peak; m_ncp = Monthly Non-Coincidental Peak; a_ncp = Annual Non-Coincidental Peak</t>
  </si>
  <si>
    <t>Sales Used for Cost Allocation</t>
  </si>
  <si>
    <t>Application of Revenue Requirements to Sales Products:</t>
  </si>
  <si>
    <t>For PTP customers:</t>
  </si>
  <si>
    <t>For PTP customers</t>
  </si>
  <si>
    <t>For NT customers:</t>
  </si>
  <si>
    <t>PTP to Which SCD Charges Do Not Apply</t>
  </si>
  <si>
    <t>Current</t>
  </si>
  <si>
    <t>Proposed</t>
  </si>
  <si>
    <t>Hourly Rate</t>
  </si>
  <si>
    <t>PTP</t>
  </si>
  <si>
    <t>Total cost allocation sales -- Reserved capacity contracts</t>
  </si>
  <si>
    <t>/1 Ancillary Service costs include Scheduling, System Control, and Dispatch (SCD) and Gen Inputs costs.</t>
  </si>
  <si>
    <t>PTP Contracts (with SDD)</t>
  </si>
  <si>
    <t>Intertie Hourly</t>
  </si>
  <si>
    <t>Include Gen Inputs</t>
  </si>
  <si>
    <t>1 = include</t>
  </si>
  <si>
    <t>0 = exclude</t>
  </si>
  <si>
    <t xml:space="preserve">COE/BOR </t>
  </si>
  <si>
    <t>TGT Revenues</t>
  </si>
  <si>
    <t>TGT Rate Calculation</t>
  </si>
  <si>
    <t>Eastern Intertie Revenue Credits</t>
  </si>
  <si>
    <t>Townsend to Garrison</t>
  </si>
  <si>
    <t>Segmented Eastern Intertie Costs</t>
  </si>
  <si>
    <t>Adjusted Segmented Eastern Intertie Costs</t>
  </si>
  <si>
    <t>mills/kW-mo</t>
  </si>
  <si>
    <t>Unit</t>
  </si>
  <si>
    <t>Quantity</t>
  </si>
  <si>
    <t>Reserve Costs</t>
  </si>
  <si>
    <t>Regional Coordinator</t>
  </si>
  <si>
    <t>Regional Compliance Enforcement</t>
  </si>
  <si>
    <t>Regional Coordinator Rate</t>
  </si>
  <si>
    <t>Regional Compliance Enforcement Rate</t>
  </si>
  <si>
    <t>Average</t>
  </si>
  <si>
    <t>SINT AC NON FEDERAL O&amp;M</t>
  </si>
  <si>
    <t>DSI DELIVERY CHARGE</t>
  </si>
  <si>
    <t>FIBER OPERATIONS &amp; MAINTENANCE</t>
  </si>
  <si>
    <t>FIBER LEASES</t>
  </si>
  <si>
    <t>LAND USE/LEASE/SALE</t>
  </si>
  <si>
    <t>RIGHT-OF-WAY LEASE</t>
  </si>
  <si>
    <t>MISC SERVICE FEES</t>
  </si>
  <si>
    <t>TRANSMISSION PROCESSING FEE</t>
  </si>
  <si>
    <t>AMORT NONFED PNW AC INTERTIE</t>
  </si>
  <si>
    <t>O&amp;M FEDERAL FACILITY</t>
  </si>
  <si>
    <t>O&amp;M NON-FEDERAL FACILITY</t>
  </si>
  <si>
    <t>MISC LEASES</t>
  </si>
  <si>
    <t>BPA EQUIPMENT USE</t>
  </si>
  <si>
    <t>TRANSMISSION OPERATOR SERVICES</t>
  </si>
  <si>
    <t>3RD AC RAS GENERATION DROPPING</t>
  </si>
  <si>
    <t>PTP RESERVATION FEE</t>
  </si>
  <si>
    <t>TS SHARE OF RES ENRGY/WHLG-COE</t>
  </si>
  <si>
    <t>UFT FIXED DOLLAR AMOUNT</t>
  </si>
  <si>
    <t>UFT VARIABLE SERVICE AMT</t>
  </si>
  <si>
    <t>PCS WIRELESS LEASES</t>
  </si>
  <si>
    <t>PCS CONSTRUCTION</t>
  </si>
  <si>
    <t>PCS OPERATIONS &amp; MAINTENANCE</t>
  </si>
  <si>
    <t>direct om</t>
  </si>
  <si>
    <t>direct uft</t>
  </si>
  <si>
    <t>Calculation of PTP and NT Rates</t>
  </si>
  <si>
    <t>OR</t>
  </si>
  <si>
    <t>VERBS</t>
  </si>
  <si>
    <t>DERBS</t>
  </si>
  <si>
    <t>Line 2</t>
  </si>
  <si>
    <t>Line 3</t>
  </si>
  <si>
    <t>GENERATION INTEGRATION BBL</t>
  </si>
  <si>
    <t>TRFA Credits Total</t>
  </si>
  <si>
    <t>Balancing Reserve Amounts</t>
  </si>
  <si>
    <t>DERBS Regulating Reserves</t>
  </si>
  <si>
    <t>DERBS Non-Regulating Reserves</t>
  </si>
  <si>
    <t>Wind Regulating Reserves</t>
  </si>
  <si>
    <t>Wind Non-Regulating Reserves</t>
  </si>
  <si>
    <t>Solar Regulating Reserves</t>
  </si>
  <si>
    <t>Solar Non-Regulating Reserves</t>
  </si>
  <si>
    <t>INC</t>
  </si>
  <si>
    <t>DEC</t>
  </si>
  <si>
    <t>Load Regulating Reserves</t>
  </si>
  <si>
    <t>Load Non-Regulating Reserves</t>
  </si>
  <si>
    <t>FedHydCGS Regulating Reserves</t>
  </si>
  <si>
    <t>FedHydCGS Non-Regulating Reserves</t>
  </si>
  <si>
    <t>Operating Reserves - Spinning Rate</t>
  </si>
  <si>
    <t>Operating Reserves - Supplemental Rate</t>
  </si>
  <si>
    <t>Costs ($000)</t>
  </si>
  <si>
    <t>Operting Reserves - Spinning Default Rate</t>
  </si>
  <si>
    <t>Operating Reserves - Supplemental Default Rate</t>
  </si>
  <si>
    <t>RFR Regulating Reserves</t>
  </si>
  <si>
    <t>RFR Non-Regulating Reserves</t>
  </si>
  <si>
    <t>Total RFR Costs</t>
  </si>
  <si>
    <t>Regulation &amp; Frequency Response Rate</t>
  </si>
  <si>
    <t>Dispatchable Energy Resource Balancing (DERBS)</t>
  </si>
  <si>
    <t>Regulation &amp; Frequency Response (RFR)</t>
  </si>
  <si>
    <t>Operating Reserves (OR)</t>
  </si>
  <si>
    <t>monthly max dev</t>
  </si>
  <si>
    <t>VERBS Wind Regulating Reserves</t>
  </si>
  <si>
    <t>VERBS Wind Non-Regulating Reserves</t>
  </si>
  <si>
    <t>VERBS Wind Rate</t>
  </si>
  <si>
    <t>VERBS Solar Regulating Reserves</t>
  </si>
  <si>
    <t>VERBS Solar Non-Regulating Reserves</t>
  </si>
  <si>
    <t>VERBS Solar Rate</t>
  </si>
  <si>
    <t>Non-BBL/Acq. &amp; Ancillary</t>
  </si>
  <si>
    <t>Segmented Southern Intertie Costs</t>
  </si>
  <si>
    <t>Network sales (PTP and NT)</t>
  </si>
  <si>
    <t>Total Firm Transmission Rights</t>
  </si>
  <si>
    <t>Regional Coordinator Costs</t>
  </si>
  <si>
    <t>Regional Compliance Enforcement Costs</t>
  </si>
  <si>
    <t>Generation
Integration</t>
  </si>
  <si>
    <t>Ancillary
Services</t>
  </si>
  <si>
    <t>Ancillary
Services /1</t>
  </si>
  <si>
    <t>Gen Int</t>
  </si>
  <si>
    <t>Delivery Indus</t>
  </si>
  <si>
    <t>Intertie S</t>
  </si>
  <si>
    <t>Intertie E</t>
  </si>
  <si>
    <t>direct COEBOR</t>
  </si>
  <si>
    <t>Point to Point (PTP) without SDD</t>
  </si>
  <si>
    <t>Annual Noncoincidental Peak (1 NCP)</t>
  </si>
  <si>
    <t>Network Integration without SDD (12 CP Average Peak)</t>
  </si>
  <si>
    <t>Network Integration with SDD (12 CP Average Peak)</t>
  </si>
  <si>
    <t>Network Integration without SDD (12 NCP Average Peak)</t>
  </si>
  <si>
    <t>Network Integration with SDD (12 NCP Average Peak)</t>
  </si>
  <si>
    <t>NT SDD Expectation</t>
  </si>
  <si>
    <t>PTP Rate Calculations:</t>
  </si>
  <si>
    <t>PTP Contract Demand</t>
  </si>
  <si>
    <t>Total Cost Allocation Sales</t>
  </si>
  <si>
    <t>NT Load (12 NCP Average Peak) (with SDD)</t>
  </si>
  <si>
    <t>PTP Cost Allocation Percentage</t>
  </si>
  <si>
    <t>NT Cost Allocation Percentage</t>
  </si>
  <si>
    <t>Short Distance Discount Forecast:</t>
  </si>
  <si>
    <t>PTP Annual Rate ($/kW-yr)</t>
  </si>
  <si>
    <t>Allocated PTP Costs</t>
  </si>
  <si>
    <t>Daily Block1 ($/kW-day)</t>
  </si>
  <si>
    <t>Daily Block2 ($/kW-day)</t>
  </si>
  <si>
    <t>NT Rate Calculation:</t>
  </si>
  <si>
    <t>NT Annual Rate ($/kW-yr)</t>
  </si>
  <si>
    <t>Total SDD Credit</t>
  </si>
  <si>
    <t>Short-term Daily Block1</t>
  </si>
  <si>
    <t>Long-term Agreements</t>
  </si>
  <si>
    <t>Short-term Daily Block2</t>
  </si>
  <si>
    <t>Intertie Daily (Block1 &amp; Block2)</t>
  </si>
  <si>
    <t>Financing Costs</t>
  </si>
  <si>
    <t>Planned Net Revenue</t>
  </si>
  <si>
    <t>Total Segmented SCD</t>
  </si>
  <si>
    <t>PTP Contract Demand without SDD</t>
  </si>
  <si>
    <t>PTP (Network + Interties) Sales</t>
  </si>
  <si>
    <t>NT Sales</t>
  </si>
  <si>
    <t>Daily Block1</t>
  </si>
  <si>
    <t>Daily Block2</t>
  </si>
  <si>
    <t>PTP (Network + Interties) Rate Calculation:</t>
  </si>
  <si>
    <t>PTP Billing Factor</t>
  </si>
  <si>
    <t>PTP Annual Rate ($/kW-year)</t>
  </si>
  <si>
    <t>PTP Monthly Rate ($/kW-month)</t>
  </si>
  <si>
    <t>Allocated NT Costs</t>
  </si>
  <si>
    <t>NT Billing Factor</t>
  </si>
  <si>
    <t>NT Annual Rate ($/kW-year)</t>
  </si>
  <si>
    <t>NT Monthly Rate ($/kW-month)</t>
  </si>
  <si>
    <t>OR - Spinning Default</t>
  </si>
  <si>
    <t>Operating Reserves - Supplmental</t>
  </si>
  <si>
    <t>OR - Supplmental Default</t>
  </si>
  <si>
    <t>DERBS Inc</t>
  </si>
  <si>
    <t>DERBS Dec</t>
  </si>
  <si>
    <t>Summary of Current and Proposed Generation Inputs Rates</t>
  </si>
  <si>
    <t>Calculation of Generation Inputs Rates</t>
  </si>
  <si>
    <t>Variable Energy Resource Balancing (VERBS) Wind</t>
  </si>
  <si>
    <t>Variable Energy Resource Balancing (VERBS) Solar</t>
  </si>
  <si>
    <t>Regulating Reserves INC</t>
  </si>
  <si>
    <t>Regulating Reserves DEC</t>
  </si>
  <si>
    <t>Non-Regulating Reserves INC</t>
  </si>
  <si>
    <t>Non-Regulating Reserves DEC</t>
  </si>
  <si>
    <t>DERBS Reserves INC</t>
  </si>
  <si>
    <t>DERBS Reserves DEC</t>
  </si>
  <si>
    <t>DERBS INC Rate</t>
  </si>
  <si>
    <t>DERBS DEC Rate</t>
  </si>
  <si>
    <t>NT Base</t>
  </si>
  <si>
    <t>PTP Long-term</t>
  </si>
  <si>
    <t>PTP Short-term</t>
  </si>
  <si>
    <t>IS Long-term</t>
  </si>
  <si>
    <t>IS Short-term</t>
  </si>
  <si>
    <t>IM Long-term</t>
  </si>
  <si>
    <t>Total Network</t>
  </si>
  <si>
    <t>Total Intertie</t>
  </si>
  <si>
    <t>Subtotal - NT</t>
  </si>
  <si>
    <t>Subtotal - PTP</t>
  </si>
  <si>
    <t>Subtotal - Network Transmission</t>
  </si>
  <si>
    <t>Subtotal - IS</t>
  </si>
  <si>
    <t>Subtotal - Intertie Transmission</t>
  </si>
  <si>
    <t>Scheduling, Control and Dispatch NT</t>
  </si>
  <si>
    <t>Total - Scheduling, Control and Dispatch</t>
  </si>
  <si>
    <t>Subtotal - Balancing Reserves</t>
  </si>
  <si>
    <t xml:space="preserve">VERBS </t>
  </si>
  <si>
    <t>Total Other Revenues</t>
  </si>
  <si>
    <t>VERBS Wind Regulating Rate</t>
  </si>
  <si>
    <t>VERBS Wind Non-Regulating Rate</t>
  </si>
  <si>
    <t>VERBS Solar Regulating Rate</t>
  </si>
  <si>
    <t>VERBS Solar Non-Regulating Rate</t>
  </si>
  <si>
    <r>
      <rPr>
        <i/>
        <sz val="9"/>
        <rFont val="Calibri"/>
        <family val="2"/>
      </rPr>
      <t>↑</t>
    </r>
    <r>
      <rPr>
        <i/>
        <sz val="9"/>
        <rFont val="Arial"/>
        <family val="2"/>
      </rPr>
      <t xml:space="preserve"> amount</t>
    </r>
  </si>
  <si>
    <r>
      <rPr>
        <i/>
        <sz val="9"/>
        <rFont val="Calibri"/>
        <family val="2"/>
      </rPr>
      <t>↑</t>
    </r>
    <r>
      <rPr>
        <i/>
        <sz val="9"/>
        <rFont val="Arial"/>
        <family val="2"/>
      </rPr>
      <t xml:space="preserve"> rate</t>
    </r>
  </si>
  <si>
    <r>
      <rPr>
        <i/>
        <sz val="9"/>
        <rFont val="Calibri"/>
        <family val="2"/>
      </rPr>
      <t>↑</t>
    </r>
    <r>
      <rPr>
        <i/>
        <sz val="9"/>
        <rFont val="Arial"/>
        <family val="2"/>
      </rPr>
      <t xml:space="preserve"> amount (DB1)</t>
    </r>
  </si>
  <si>
    <r>
      <rPr>
        <i/>
        <sz val="9"/>
        <rFont val="Calibri"/>
        <family val="2"/>
      </rPr>
      <t>↑</t>
    </r>
    <r>
      <rPr>
        <i/>
        <sz val="9"/>
        <rFont val="Arial"/>
        <family val="2"/>
      </rPr>
      <t xml:space="preserve"> rate (DB1)</t>
    </r>
  </si>
  <si>
    <r>
      <rPr>
        <i/>
        <sz val="9"/>
        <rFont val="Calibri"/>
        <family val="2"/>
      </rPr>
      <t>↑</t>
    </r>
    <r>
      <rPr>
        <i/>
        <sz val="9"/>
        <rFont val="Arial"/>
        <family val="2"/>
      </rPr>
      <t xml:space="preserve"> amount (DB2)</t>
    </r>
  </si>
  <si>
    <r>
      <rPr>
        <i/>
        <sz val="9"/>
        <rFont val="Calibri"/>
        <family val="2"/>
      </rPr>
      <t>↑</t>
    </r>
    <r>
      <rPr>
        <i/>
        <sz val="9"/>
        <rFont val="Arial"/>
        <family val="2"/>
      </rPr>
      <t xml:space="preserve"> rate (DB2)</t>
    </r>
  </si>
  <si>
    <r>
      <rPr>
        <i/>
        <sz val="9"/>
        <rFont val="Calibri"/>
        <family val="2"/>
      </rPr>
      <t>↑</t>
    </r>
    <r>
      <rPr>
        <i/>
        <sz val="9"/>
        <rFont val="Arial"/>
        <family val="2"/>
      </rPr>
      <t xml:space="preserve"> amount (Hourly)</t>
    </r>
  </si>
  <si>
    <r>
      <rPr>
        <i/>
        <sz val="9"/>
        <rFont val="Calibri"/>
        <family val="2"/>
      </rPr>
      <t>↑</t>
    </r>
    <r>
      <rPr>
        <i/>
        <sz val="9"/>
        <rFont val="Arial"/>
        <family val="2"/>
      </rPr>
      <t xml:space="preserve"> rate (Hourly)</t>
    </r>
  </si>
  <si>
    <t>Annual peak (Including SDD)</t>
  </si>
  <si>
    <t>NT Billing Factor (12 CP Average Peak)</t>
  </si>
  <si>
    <t>PTP Billing Factor (PTP Contract Demand)</t>
  </si>
  <si>
    <t>VERBS Wind Regulating</t>
  </si>
  <si>
    <t>VERBS Wind Non-Regulating</t>
  </si>
  <si>
    <t>VERBS Solar Regulating</t>
  </si>
  <si>
    <t>Eastern Intertie Adjustment 1/</t>
  </si>
  <si>
    <t>Industry Delivery Adjustment 1/</t>
  </si>
  <si>
    <t>VERBS Solar Non-Regulating</t>
  </si>
  <si>
    <t>adjustment percentage</t>
  </si>
  <si>
    <t>Calculation of Regional Compliance Enforcement and Regional Coordinator Charge</t>
  </si>
  <si>
    <t>TGT REVENUES</t>
  </si>
  <si>
    <r>
      <rPr>
        <i/>
        <sz val="9"/>
        <rFont val="Calibri"/>
        <family val="2"/>
      </rPr>
      <t>↑</t>
    </r>
    <r>
      <rPr>
        <i/>
        <sz val="9"/>
        <rFont val="Arial"/>
        <family val="2"/>
      </rPr>
      <t xml:space="preserve"> rate (Wind Regulating)</t>
    </r>
  </si>
  <si>
    <r>
      <rPr>
        <i/>
        <sz val="9"/>
        <rFont val="Calibri"/>
        <family val="2"/>
      </rPr>
      <t>↑</t>
    </r>
    <r>
      <rPr>
        <i/>
        <sz val="9"/>
        <rFont val="Arial"/>
        <family val="2"/>
      </rPr>
      <t xml:space="preserve"> rate (Wind Non-Regulating)</t>
    </r>
  </si>
  <si>
    <r>
      <rPr>
        <i/>
        <sz val="9"/>
        <rFont val="Calibri"/>
        <family val="2"/>
      </rPr>
      <t>↑</t>
    </r>
    <r>
      <rPr>
        <i/>
        <sz val="9"/>
        <rFont val="Arial"/>
        <family val="2"/>
      </rPr>
      <t xml:space="preserve"> rate (Solar Regulating)</t>
    </r>
  </si>
  <si>
    <r>
      <rPr>
        <i/>
        <sz val="9"/>
        <rFont val="Calibri"/>
        <family val="2"/>
      </rPr>
      <t>↑</t>
    </r>
    <r>
      <rPr>
        <i/>
        <sz val="9"/>
        <rFont val="Arial"/>
        <family val="2"/>
      </rPr>
      <t xml:space="preserve"> rate (Solar Non-Regulating)</t>
    </r>
  </si>
  <si>
    <r>
      <rPr>
        <i/>
        <sz val="9"/>
        <rFont val="Calibri"/>
        <family val="2"/>
      </rPr>
      <t>↑</t>
    </r>
    <r>
      <rPr>
        <i/>
        <sz val="9"/>
        <rFont val="Arial"/>
        <family val="2"/>
      </rPr>
      <t xml:space="preserve"> amount (Wind)</t>
    </r>
  </si>
  <si>
    <r>
      <rPr>
        <i/>
        <sz val="9"/>
        <rFont val="Calibri"/>
        <family val="2"/>
      </rPr>
      <t>↑</t>
    </r>
    <r>
      <rPr>
        <i/>
        <sz val="9"/>
        <rFont val="Arial"/>
        <family val="2"/>
      </rPr>
      <t xml:space="preserve"> amount (Solar)</t>
    </r>
  </si>
  <si>
    <t>Gen Input</t>
  </si>
  <si>
    <r>
      <rPr>
        <i/>
        <sz val="9"/>
        <rFont val="Calibri"/>
        <family val="2"/>
      </rPr>
      <t>↑</t>
    </r>
    <r>
      <rPr>
        <i/>
        <sz val="9"/>
        <rFont val="Arial"/>
        <family val="2"/>
      </rPr>
      <t xml:space="preserve"> amount (Inc)</t>
    </r>
  </si>
  <si>
    <r>
      <rPr>
        <i/>
        <sz val="9"/>
        <rFont val="Calibri"/>
        <family val="2"/>
      </rPr>
      <t>↑</t>
    </r>
    <r>
      <rPr>
        <i/>
        <sz val="9"/>
        <rFont val="Arial"/>
        <family val="2"/>
      </rPr>
      <t xml:space="preserve"> rate (Inc)</t>
    </r>
  </si>
  <si>
    <r>
      <rPr>
        <i/>
        <sz val="9"/>
        <rFont val="Calibri"/>
        <family val="2"/>
      </rPr>
      <t>↑</t>
    </r>
    <r>
      <rPr>
        <i/>
        <sz val="9"/>
        <rFont val="Arial"/>
        <family val="2"/>
      </rPr>
      <t xml:space="preserve"> amount (Dec)</t>
    </r>
  </si>
  <si>
    <r>
      <rPr>
        <i/>
        <sz val="9"/>
        <rFont val="Calibri"/>
        <family val="2"/>
      </rPr>
      <t>↑</t>
    </r>
    <r>
      <rPr>
        <i/>
        <sz val="9"/>
        <rFont val="Arial"/>
        <family val="2"/>
      </rPr>
      <t xml:space="preserve"> rate (Dec)</t>
    </r>
  </si>
  <si>
    <r>
      <rPr>
        <i/>
        <sz val="9"/>
        <rFont val="Calibri"/>
        <family val="2"/>
      </rPr>
      <t>↑</t>
    </r>
    <r>
      <rPr>
        <i/>
        <sz val="9"/>
        <rFont val="Arial"/>
        <family val="2"/>
      </rPr>
      <t xml:space="preserve"> hours</t>
    </r>
  </si>
  <si>
    <t>Generation 
Integration</t>
  </si>
  <si>
    <t>Ancillary 
Services</t>
  </si>
  <si>
    <t>Year 1</t>
  </si>
  <si>
    <t>Year 2</t>
  </si>
  <si>
    <t>Year 3</t>
  </si>
  <si>
    <t>Scheduling, Control and Dispatch PTP+IS Long-term</t>
  </si>
  <si>
    <t>Scheduling, Control and Dispatch PTP+IS Short-term</t>
  </si>
  <si>
    <t>NT Scheduling, Control and Dispatch</t>
  </si>
  <si>
    <t>PTP Long-term Scheduling, Control and Dispatch</t>
  </si>
  <si>
    <t>PTP Short-term Scheduling, Control and Dispatch</t>
  </si>
  <si>
    <t>Subtotal - Network Scheduling, Control and Dispatch</t>
  </si>
  <si>
    <t>IS Long-term Scheduling, Control and Dispatch</t>
  </si>
  <si>
    <t>IS Short-term Scheduling, Control and Dispatch</t>
  </si>
  <si>
    <t>Subtotal - Intertie Scheduling, Control and Dispatch</t>
  </si>
  <si>
    <t>Total SCD Costs</t>
  </si>
  <si>
    <t>TRANSMISSION PLANNER CFR SERV</t>
  </si>
  <si>
    <t>Table 6</t>
  </si>
  <si>
    <t>Table 8.1</t>
  </si>
  <si>
    <t>Table 8.2</t>
  </si>
  <si>
    <t>Table 8.3</t>
  </si>
  <si>
    <t>Table 8.4</t>
  </si>
  <si>
    <t>Table 10</t>
  </si>
  <si>
    <t>Average Ancillary Rev Reqmt (T8.1)</t>
  </si>
  <si>
    <t>Eastern Intertie and Industry Delivery adjustments (cost - revenue) segmented on Table 1 net plant percentages.</t>
  </si>
  <si>
    <t>`</t>
  </si>
  <si>
    <t>FY 2026</t>
  </si>
  <si>
    <t>FY 2027</t>
  </si>
  <si>
    <t>FY 2028</t>
  </si>
  <si>
    <t>BP-26 Average</t>
  </si>
  <si>
    <t>FY 2025</t>
  </si>
  <si>
    <t>Average FY 2026-2028</t>
  </si>
  <si>
    <t>FY 2026 Revenue</t>
  </si>
  <si>
    <t>Subtotal FY 2026 Revenue</t>
  </si>
  <si>
    <t>FY 2027 Revenue</t>
  </si>
  <si>
    <t>Subtotal FY 2027 Revenue</t>
  </si>
  <si>
    <t>FY 2028 Revenue</t>
  </si>
  <si>
    <t>Subtotal FY 2028 Revenue</t>
  </si>
  <si>
    <t>FY 2026 Net Plant</t>
  </si>
  <si>
    <t>FY 2027 Net Plant</t>
  </si>
  <si>
    <t>FY 2028 Net Plant</t>
  </si>
  <si>
    <t>FY 2026 Net Plant less Intertie E</t>
  </si>
  <si>
    <t>FY 2027 Net Plant less Intertie E</t>
  </si>
  <si>
    <t>FY 2028 Net Plant less Intertie E</t>
  </si>
  <si>
    <t>FY 2026 Net Plant less Intertie E &amp; Delivery Indus</t>
  </si>
  <si>
    <t>FY 2027 Net Plant less Intertie E &amp; Delivery Indus</t>
  </si>
  <si>
    <t>FY 2028 Net Plant less Intertie E &amp; Delivery Indus</t>
  </si>
  <si>
    <t>Subtotal of FY 2026</t>
  </si>
  <si>
    <t>Subtotal of FY 2027</t>
  </si>
  <si>
    <t>Subtotal of FY 2028</t>
  </si>
  <si>
    <t>Network Average for BP-26</t>
  </si>
  <si>
    <t>Southern Intertie Average for BP-26</t>
  </si>
  <si>
    <t>Montana Intertie Average for BP-26</t>
  </si>
  <si>
    <t>FY 2026 Days in Month</t>
  </si>
  <si>
    <t>FY 2027 Days in Month</t>
  </si>
  <si>
    <t>FY 2028 Days in Month</t>
  </si>
  <si>
    <t>Subtotal for BP-26</t>
  </si>
  <si>
    <t>FY 2026/2027/2028</t>
  </si>
  <si>
    <t>FY 2026 Billing Factor</t>
  </si>
  <si>
    <t>FY 2027 Billing Factor</t>
  </si>
  <si>
    <t>FY 2028 Billing Factor</t>
  </si>
  <si>
    <t>BP-24
Rates</t>
  </si>
  <si>
    <t>BP-26
Rates</t>
  </si>
  <si>
    <t>Summary of BP-24 and BP-26 Rates</t>
  </si>
  <si>
    <t>Source for BP-26 Rates</t>
  </si>
  <si>
    <t>NT BP-26</t>
  </si>
  <si>
    <t>PTP BP-26</t>
  </si>
  <si>
    <t>IS BP-26</t>
  </si>
  <si>
    <t>IM BP-26</t>
  </si>
  <si>
    <t>TGT BP-26</t>
  </si>
  <si>
    <t>IE BP-26</t>
  </si>
  <si>
    <t>Regional Compliance Charge BP-26</t>
  </si>
  <si>
    <t>Regional Coordinator Charge BP-26</t>
  </si>
  <si>
    <t>SCD BP-26</t>
  </si>
  <si>
    <t>GSR BP-26</t>
  </si>
  <si>
    <t>BP-24 Rates</t>
  </si>
  <si>
    <t>BP-24
Average</t>
  </si>
  <si>
    <t>BP-26 Rates</t>
  </si>
  <si>
    <t>BP-26
Average</t>
  </si>
  <si>
    <t>Revenue at BP-24 and BP-26 Rates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</si>
</sst>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5">
    <numFmt numFmtId="5" formatCode="&quot;$&quot;#,##0_);\(&quot;$&quot;#,##0\)"/>
    <numFmt numFmtId="6" formatCode="&quot;$&quot;#,##0_);[Red]\(&quot;$&quot;#,##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0.0%"/>
    <numFmt numFmtId="166" formatCode="0.000"/>
    <numFmt numFmtId="167" formatCode="@*."/>
    <numFmt numFmtId="168" formatCode="#,##0.000"/>
    <numFmt numFmtId="169" formatCode="#,##0.0"/>
    <numFmt numFmtId="170" formatCode="0.000000"/>
    <numFmt numFmtId="171" formatCode="#,##0.0000"/>
    <numFmt numFmtId="172" formatCode="#,###;;&quot;-&quot;"/>
    <numFmt numFmtId="173" formatCode="_(* #,##0.000_);_(* \(#,##0.000\);_(* &quot;-&quot;??_);_(@_)"/>
    <numFmt numFmtId="174" formatCode="_(* #,##0.0000_);_(* \(#,##0.0000\);_(* &quot;-&quot;??_);_(@_)"/>
    <numFmt numFmtId="175" formatCode="_(* #,##0.00000_);_(* \(#,##0.00000\);_(* &quot;-&quot;??_);_(@_)"/>
    <numFmt numFmtId="176" formatCode="0.00%;;&quot;-&quot;"/>
    <numFmt numFmtId="177" formatCode="0.00000000000"/>
    <numFmt numFmtId="178" formatCode="_([$€-2]* #,##0.00_);_([$€-2]* \(#,##0.00\);_([$€-2]* &quot;-&quot;??_)"/>
    <numFmt numFmtId="179" formatCode="[$-409]mmm\-yy;@"/>
    <numFmt numFmtId="180" formatCode="&quot;$&quot;#,##0"/>
    <numFmt numFmtId="181" formatCode="0.0_)\%;\(0.0\)\%;0.0_)\%;@_)_%"/>
    <numFmt numFmtId="182" formatCode="#,##0.0_)_%;\(#,##0.0\)_%;0.0_)_%;@_)_%"/>
    <numFmt numFmtId="183" formatCode="#,##0.0_);\(#,##0.0\);#,##0.0_);@_)"/>
    <numFmt numFmtId="184" formatCode="&quot;$&quot;_(#,##0.00_);&quot;$&quot;\(#,##0.00\);&quot;$&quot;_(0.00_);@_)"/>
    <numFmt numFmtId="185" formatCode="#,##0.00_);\(#,##0.00\);0.00_);@_)"/>
    <numFmt numFmtId="186" formatCode="\€_(#,##0.00_);\€\(#,##0.00\);\€_(0.00_);@_)"/>
    <numFmt numFmtId="187" formatCode="#,##0.0_)\x;\(#,##0.0\)\x;0.0_)\x;@_)_x"/>
    <numFmt numFmtId="188" formatCode="#,##0.0_)_x;\(#,##0.0\)_x;0.0_)_x;@_)_x"/>
    <numFmt numFmtId="189" formatCode="&quot;$&quot;#,##0.0;[Red]\-&quot;$&quot;#,##0.0"/>
    <numFmt numFmtId="190" formatCode="d\.mmm\.yy"/>
    <numFmt numFmtId="191" formatCode="_(* #,##0.00_);\(* #,##0.00\);_(* &quot;-&quot;??_);_(@_)"/>
    <numFmt numFmtId="192" formatCode="_-* #,##0.0_-;\-* #,##0.0_-;_-* &quot;-&quot;??_-;_-@_-"/>
    <numFmt numFmtId="193" formatCode="#,##0.00&quot; $&quot;;\-#,##0.00&quot; $&quot;"/>
    <numFmt numFmtId="194" formatCode="#,##0.0000\ ;[Red]\(#,##0.0000\)"/>
    <numFmt numFmtId="195" formatCode="0.00_)"/>
    <numFmt numFmtId="196" formatCode="0.000%;;"/>
    <numFmt numFmtId="197" formatCode="_(* #,##0.0_);_(* \(#,##0.0\);_(* &quot;-&quot;_);_(@_)"/>
    <numFmt numFmtId="198" formatCode="mmm\-yyyy"/>
    <numFmt numFmtId="199" formatCode="&quot;$&quot;#,##0.00"/>
    <numFmt numFmtId="200" formatCode="_(* #,##0.00_);_(* \(#,##0.00\);_(* &quot;-&quot;_);_(@_)"/>
    <numFmt numFmtId="201" formatCode="_(* #,##0.000_);_(* \(#,##0.000\);_(* &quot;-&quot;_);_(@_)"/>
    <numFmt numFmtId="202" formatCode="0.0000%"/>
    <numFmt numFmtId="203" formatCode="0.000000000"/>
  </numFmts>
  <fonts count="245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ourier New"/>
      <family val="3"/>
    </font>
    <font>
      <sz val="10"/>
      <name val="MS Sans Serif"/>
      <family val="2"/>
    </font>
    <font>
      <b/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i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sz val="12"/>
      <name val="Times New Roman"/>
      <family val="1"/>
    </font>
    <font>
      <i/>
      <sz val="12"/>
      <name val="Times New Roman"/>
      <family val="1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0"/>
      <color theme="1"/>
      <name val="Comic Sans MS"/>
      <family val="2"/>
    </font>
    <font>
      <sz val="11"/>
      <color theme="1"/>
      <name val="Century Gothic"/>
      <family val="2"/>
    </font>
    <font>
      <sz val="11"/>
      <color indexed="9"/>
      <name val="Calibri"/>
      <family val="2"/>
    </font>
    <font>
      <sz val="10"/>
      <color theme="0"/>
      <name val="Comic Sans MS"/>
      <family val="2"/>
    </font>
    <font>
      <sz val="11"/>
      <color theme="0"/>
      <name val="Century Gothic"/>
      <family val="2"/>
    </font>
    <font>
      <sz val="11"/>
      <color theme="0"/>
      <name val="Calibri"/>
      <family val="2"/>
      <scheme val="minor"/>
    </font>
    <font>
      <sz val="11"/>
      <color indexed="20"/>
      <name val="Calibri"/>
      <family val="2"/>
    </font>
    <font>
      <sz val="10"/>
      <color rgb="FF9C0006"/>
      <name val="Comic Sans MS"/>
      <family val="2"/>
    </font>
    <font>
      <sz val="11"/>
      <color rgb="FF9C0006"/>
      <name val="Century Gothic"/>
      <family val="2"/>
    </font>
    <font>
      <b/>
      <sz val="11"/>
      <color indexed="52"/>
      <name val="Calibri"/>
      <family val="2"/>
    </font>
    <font>
      <b/>
      <sz val="10"/>
      <color rgb="FFFA7D00"/>
      <name val="Comic Sans MS"/>
      <family val="2"/>
    </font>
    <font>
      <b/>
      <sz val="11"/>
      <color rgb="FFFA7D00"/>
      <name val="Century Gothic"/>
      <family val="2"/>
    </font>
    <font>
      <b/>
      <sz val="11"/>
      <color theme="0"/>
      <name val="Calibri"/>
      <family val="2"/>
      <scheme val="minor"/>
    </font>
    <font>
      <b/>
      <sz val="10"/>
      <color theme="0"/>
      <name val="Comic Sans MS"/>
      <family val="2"/>
    </font>
    <font>
      <b/>
      <sz val="11"/>
      <color indexed="9"/>
      <name val="Calibri"/>
      <family val="2"/>
    </font>
    <font>
      <b/>
      <sz val="11"/>
      <color theme="0"/>
      <name val="Century Gothic"/>
      <family val="2"/>
    </font>
    <font>
      <sz val="10"/>
      <color theme="1"/>
      <name val="Century Gothic"/>
      <family val="2"/>
    </font>
    <font>
      <i/>
      <sz val="11"/>
      <color indexed="23"/>
      <name val="Calibri"/>
      <family val="2"/>
    </font>
    <font>
      <i/>
      <sz val="10"/>
      <color rgb="FF7F7F7F"/>
      <name val="Comic Sans MS"/>
      <family val="2"/>
    </font>
    <font>
      <i/>
      <sz val="11"/>
      <color rgb="FF7F7F7F"/>
      <name val="Century Gothic"/>
      <family val="2"/>
    </font>
    <font>
      <sz val="10"/>
      <color rgb="FF006100"/>
      <name val="Comic Sans MS"/>
      <family val="2"/>
    </font>
    <font>
      <sz val="11"/>
      <color indexed="17"/>
      <name val="Calibri"/>
      <family val="2"/>
    </font>
    <font>
      <sz val="10"/>
      <color rgb="FF006100"/>
      <name val="Century Gothic"/>
      <family val="2"/>
    </font>
    <font>
      <sz val="11"/>
      <color rgb="FF006100"/>
      <name val="Calibri"/>
      <family val="2"/>
      <scheme val="minor"/>
    </font>
    <font>
      <sz val="11"/>
      <color rgb="FF006100"/>
      <name val="Century Gothic"/>
      <family val="2"/>
    </font>
    <font>
      <b/>
      <sz val="15"/>
      <color indexed="56"/>
      <name val="Calibri"/>
      <family val="2"/>
    </font>
    <font>
      <b/>
      <sz val="15"/>
      <color theme="3"/>
      <name val="Comic Sans MS"/>
      <family val="2"/>
    </font>
    <font>
      <b/>
      <sz val="15"/>
      <color theme="3"/>
      <name val="Century Gothic"/>
      <family val="2"/>
    </font>
    <font>
      <b/>
      <sz val="13"/>
      <color indexed="56"/>
      <name val="Calibri"/>
      <family val="2"/>
    </font>
    <font>
      <b/>
      <sz val="13"/>
      <color theme="3"/>
      <name val="Comic Sans MS"/>
      <family val="2"/>
    </font>
    <font>
      <b/>
      <sz val="13"/>
      <color theme="3"/>
      <name val="Century Gothic"/>
      <family val="2"/>
    </font>
    <font>
      <b/>
      <sz val="11"/>
      <color indexed="56"/>
      <name val="Calibri"/>
      <family val="2"/>
    </font>
    <font>
      <b/>
      <sz val="11"/>
      <color theme="3"/>
      <name val="Comic Sans MS"/>
      <family val="2"/>
    </font>
    <font>
      <b/>
      <sz val="11"/>
      <color theme="3"/>
      <name val="Century Gothic"/>
      <family val="2"/>
    </font>
    <font>
      <u/>
      <sz val="11"/>
      <color theme="10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color rgb="FF3F3F76"/>
      <name val="Comic Sans MS"/>
      <family val="2"/>
    </font>
    <font>
      <sz val="11"/>
      <color indexed="62"/>
      <name val="Calibri"/>
      <family val="2"/>
    </font>
    <font>
      <sz val="11"/>
      <color rgb="FF3F3F76"/>
      <name val="Century Gothic"/>
      <family val="2"/>
    </font>
    <font>
      <sz val="11"/>
      <color indexed="52"/>
      <name val="Calibri"/>
      <family val="2"/>
    </font>
    <font>
      <sz val="10"/>
      <color rgb="FFFA7D00"/>
      <name val="Comic Sans MS"/>
      <family val="2"/>
    </font>
    <font>
      <sz val="11"/>
      <color rgb="FFFA7D00"/>
      <name val="Century Gothic"/>
      <family val="2"/>
    </font>
    <font>
      <sz val="11"/>
      <color indexed="60"/>
      <name val="Calibri"/>
      <family val="2"/>
    </font>
    <font>
      <sz val="10"/>
      <color rgb="FF9C6500"/>
      <name val="Comic Sans MS"/>
      <family val="2"/>
    </font>
    <font>
      <sz val="11"/>
      <color rgb="FF9C6500"/>
      <name val="Century Gothic"/>
      <family val="2"/>
    </font>
    <font>
      <b/>
      <sz val="11"/>
      <color indexed="63"/>
      <name val="Calibri"/>
      <family val="2"/>
    </font>
    <font>
      <b/>
      <sz val="10"/>
      <color rgb="FF3F3F3F"/>
      <name val="Comic Sans MS"/>
      <family val="2"/>
    </font>
    <font>
      <b/>
      <sz val="11"/>
      <color rgb="FF3F3F3F"/>
      <name val="Century Gothic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sz val="10"/>
      <color theme="1"/>
      <name val="Comic Sans MS"/>
      <family val="2"/>
    </font>
    <font>
      <b/>
      <sz val="11"/>
      <color theme="1"/>
      <name val="Century Gothic"/>
      <family val="2"/>
    </font>
    <font>
      <sz val="9"/>
      <color indexed="20"/>
      <name val="Times New Roman"/>
      <family val="1"/>
    </font>
    <font>
      <sz val="11"/>
      <color indexed="10"/>
      <name val="Calibri"/>
      <family val="2"/>
    </font>
    <font>
      <sz val="10"/>
      <color rgb="FFFF0000"/>
      <name val="Comic Sans MS"/>
      <family val="2"/>
    </font>
    <font>
      <sz val="11"/>
      <color rgb="FFFF0000"/>
      <name val="Century Gothic"/>
      <family val="2"/>
    </font>
    <font>
      <b/>
      <sz val="10"/>
      <color indexed="8"/>
      <name val="Arial"/>
      <family val="2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sz val="10"/>
      <color rgb="FF006100"/>
      <name val="Calibri"/>
      <family val="2"/>
    </font>
    <font>
      <sz val="10"/>
      <color indexed="20"/>
      <name val="Arial"/>
      <family val="2"/>
    </font>
    <font>
      <sz val="10"/>
      <color theme="1"/>
      <name val="Gadugi"/>
      <family val="2"/>
    </font>
    <font>
      <sz val="11"/>
      <color rgb="FFFF0000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22"/>
      <color indexed="18"/>
      <name val="Arial"/>
      <family val="2"/>
    </font>
    <font>
      <b/>
      <sz val="14"/>
      <color indexed="18"/>
      <name val="Arial"/>
      <family val="2"/>
    </font>
    <font>
      <sz val="9"/>
      <color indexed="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0"/>
      <color indexed="9"/>
      <name val="Arial"/>
      <family val="2"/>
    </font>
    <font>
      <sz val="11"/>
      <color indexed="11"/>
      <name val="Calibri"/>
      <family val="2"/>
    </font>
    <font>
      <sz val="11"/>
      <color indexed="9"/>
      <name val="Arial"/>
      <family val="2"/>
    </font>
    <font>
      <sz val="11"/>
      <color indexed="36"/>
      <name val="Calibri"/>
      <family val="2"/>
    </font>
    <font>
      <sz val="11"/>
      <color indexed="20"/>
      <name val="Arial"/>
      <family val="2"/>
    </font>
    <font>
      <sz val="10"/>
      <color indexed="8"/>
      <name val="MS Sans Serif"/>
      <family val="2"/>
    </font>
    <font>
      <b/>
      <sz val="10"/>
      <color indexed="52"/>
      <name val="Arial"/>
      <family val="2"/>
    </font>
    <font>
      <b/>
      <sz val="11"/>
      <color indexed="52"/>
      <name val="Arial"/>
      <family val="2"/>
    </font>
    <font>
      <b/>
      <sz val="10"/>
      <color indexed="9"/>
      <name val="Arial"/>
      <family val="2"/>
    </font>
    <font>
      <b/>
      <sz val="11"/>
      <color indexed="11"/>
      <name val="Calibri"/>
      <family val="2"/>
    </font>
    <font>
      <b/>
      <sz val="11"/>
      <color indexed="9"/>
      <name val="Arial"/>
      <family val="2"/>
    </font>
    <font>
      <sz val="8"/>
      <name val="Palatino"/>
      <family val="1"/>
    </font>
    <font>
      <sz val="10"/>
      <name val="Tahoma"/>
      <family val="2"/>
    </font>
    <font>
      <sz val="12"/>
      <name val="Helv"/>
    </font>
    <font>
      <sz val="10"/>
      <name val="Helv"/>
    </font>
    <font>
      <sz val="10"/>
      <name val="MS Serif"/>
      <family val="1"/>
    </font>
    <font>
      <sz val="10"/>
      <name val="Courier"/>
      <family val="3"/>
    </font>
    <font>
      <sz val="8"/>
      <name val="Lucida Console"/>
      <family val="3"/>
    </font>
    <font>
      <sz val="11"/>
      <name val="??"/>
      <family val="3"/>
      <charset val="129"/>
    </font>
    <font>
      <i/>
      <sz val="10"/>
      <color indexed="23"/>
      <name val="Arial"/>
      <family val="2"/>
    </font>
    <font>
      <i/>
      <sz val="11"/>
      <color indexed="55"/>
      <name val="Calibri"/>
      <family val="2"/>
    </font>
    <font>
      <i/>
      <sz val="11"/>
      <color indexed="23"/>
      <name val="Arial"/>
      <family val="2"/>
    </font>
    <font>
      <sz val="18"/>
      <name val="Arial"/>
      <family val="2"/>
    </font>
    <font>
      <sz val="18"/>
      <name val="Times New Roman"/>
      <family val="1"/>
    </font>
    <font>
      <sz val="8"/>
      <name val="Times New Roman"/>
      <family val="1"/>
    </font>
    <font>
      <sz val="12"/>
      <color indexed="24"/>
      <name val="Arial"/>
      <family val="2"/>
    </font>
    <font>
      <sz val="11"/>
      <color indexed="58"/>
      <name val="Calibri"/>
      <family val="2"/>
    </font>
    <font>
      <sz val="11"/>
      <color indexed="17"/>
      <name val="Arial"/>
      <family val="2"/>
    </font>
    <font>
      <sz val="6"/>
      <color indexed="16"/>
      <name val="Palatino"/>
      <family val="1"/>
    </font>
    <font>
      <b/>
      <u/>
      <sz val="11"/>
      <color indexed="37"/>
      <name val="Arial"/>
      <family val="2"/>
    </font>
    <font>
      <b/>
      <sz val="15"/>
      <color indexed="62"/>
      <name val="Calibri"/>
      <family val="2"/>
    </font>
    <font>
      <b/>
      <sz val="15"/>
      <color indexed="56"/>
      <name val="Arial"/>
      <family val="2"/>
    </font>
    <font>
      <b/>
      <sz val="15"/>
      <color indexed="21"/>
      <name val="Calibri"/>
      <family val="2"/>
    </font>
    <font>
      <b/>
      <sz val="13"/>
      <color indexed="56"/>
      <name val="Arial"/>
      <family val="2"/>
    </font>
    <font>
      <b/>
      <sz val="13"/>
      <color indexed="21"/>
      <name val="Calibri"/>
      <family val="2"/>
    </font>
    <font>
      <b/>
      <sz val="11"/>
      <color indexed="62"/>
      <name val="Calibri"/>
      <family val="2"/>
    </font>
    <font>
      <b/>
      <sz val="11"/>
      <color indexed="56"/>
      <name val="Arial"/>
      <family val="2"/>
    </font>
    <font>
      <b/>
      <sz val="11"/>
      <color indexed="21"/>
      <name val="Calibri"/>
      <family val="2"/>
    </font>
    <font>
      <b/>
      <sz val="8"/>
      <name val="Arial"/>
      <family val="2"/>
    </font>
    <font>
      <u/>
      <sz val="7.5"/>
      <color indexed="12"/>
      <name val="Arial"/>
      <family val="2"/>
    </font>
    <font>
      <u/>
      <sz val="10"/>
      <color indexed="12"/>
      <name val="Arial"/>
      <family val="2"/>
    </font>
    <font>
      <u/>
      <sz val="11"/>
      <color indexed="12"/>
      <name val="Calibri"/>
      <family val="2"/>
    </font>
    <font>
      <u/>
      <sz val="10"/>
      <color theme="10"/>
      <name val="Arial"/>
      <family val="2"/>
    </font>
    <font>
      <sz val="11"/>
      <color indexed="62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1"/>
      <color indexed="52"/>
      <name val="Arial"/>
      <family val="2"/>
    </font>
    <font>
      <sz val="10"/>
      <color indexed="60"/>
      <name val="Arial"/>
      <family val="2"/>
    </font>
    <font>
      <sz val="11"/>
      <color indexed="60"/>
      <name val="Arial"/>
      <family val="2"/>
    </font>
    <font>
      <sz val="7"/>
      <name val="Small Fonts"/>
      <family val="2"/>
    </font>
    <font>
      <b/>
      <i/>
      <sz val="16"/>
      <name val="Helv"/>
    </font>
    <font>
      <b/>
      <sz val="10"/>
      <color indexed="63"/>
      <name val="Arial"/>
      <family val="2"/>
    </font>
    <font>
      <b/>
      <sz val="11"/>
      <color indexed="63"/>
      <name val="Arial"/>
      <family val="2"/>
    </font>
    <font>
      <sz val="10"/>
      <color indexed="16"/>
      <name val="Helvetica-Black"/>
    </font>
    <font>
      <sz val="8"/>
      <color indexed="8"/>
      <name val="Times New Roman"/>
      <family val="1"/>
    </font>
    <font>
      <sz val="8"/>
      <name val="Helv"/>
    </font>
    <font>
      <b/>
      <i/>
      <sz val="10"/>
      <name val="Times New Roman"/>
      <family val="1"/>
    </font>
    <font>
      <b/>
      <sz val="8"/>
      <color indexed="8"/>
      <name val="Helv"/>
    </font>
    <font>
      <b/>
      <sz val="9"/>
      <name val="Palatino"/>
      <family val="1"/>
    </font>
    <font>
      <sz val="9"/>
      <color indexed="21"/>
      <name val="Helvetica-Black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8"/>
      <color indexed="21"/>
      <name val="Cambria"/>
      <family val="2"/>
    </font>
    <font>
      <b/>
      <sz val="14"/>
      <color indexed="56"/>
      <name val="Arial"/>
      <family val="2"/>
    </font>
    <font>
      <b/>
      <sz val="11"/>
      <color indexed="8"/>
      <name val="Arial"/>
      <family val="2"/>
    </font>
    <font>
      <sz val="8"/>
      <color indexed="12"/>
      <name val="Arial"/>
      <family val="2"/>
    </font>
    <font>
      <sz val="10"/>
      <color indexed="10"/>
      <name val="Arial"/>
      <family val="2"/>
    </font>
    <font>
      <sz val="11"/>
      <color indexed="10"/>
      <name val="Arial"/>
      <family val="2"/>
    </font>
    <font>
      <b/>
      <sz val="10"/>
      <name val="Arial Unicode MS"/>
      <family val="2"/>
    </font>
    <font>
      <sz val="10"/>
      <name val="Arial Unicode MS"/>
      <family val="2"/>
    </font>
    <font>
      <sz val="10"/>
      <color indexed="63"/>
      <name val="Verdana"/>
      <family val="2"/>
    </font>
    <font>
      <sz val="10"/>
      <color indexed="8"/>
      <name val="Verdana"/>
      <family val="2"/>
    </font>
    <font>
      <b/>
      <sz val="10"/>
      <color indexed="9"/>
      <name val="Verdana"/>
      <family val="2"/>
    </font>
    <font>
      <b/>
      <sz val="10"/>
      <color indexed="63"/>
      <name val="Verdana"/>
      <family val="2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4"/>
      <name val="Arial"/>
      <family val="2"/>
    </font>
    <font>
      <b/>
      <sz val="11"/>
      <color theme="1"/>
      <name val="Arial"/>
      <family val="2"/>
    </font>
    <font>
      <u/>
      <sz val="11"/>
      <name val="Arial"/>
      <family val="2"/>
    </font>
    <font>
      <b/>
      <sz val="11"/>
      <color indexed="12"/>
      <name val="Arial"/>
      <family val="2"/>
    </font>
    <font>
      <sz val="11"/>
      <color theme="0"/>
      <name val="Arial"/>
      <family val="2"/>
    </font>
    <font>
      <strike/>
      <sz val="11"/>
      <name val="Arial"/>
      <family val="2"/>
    </font>
    <font>
      <b/>
      <sz val="11"/>
      <color indexed="17"/>
      <name val="Arial"/>
      <family val="2"/>
    </font>
    <font>
      <i/>
      <sz val="11"/>
      <name val="Arial"/>
      <family val="2"/>
    </font>
    <font>
      <b/>
      <i/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1"/>
      <color theme="0"/>
      <name val="Arial"/>
      <family val="2"/>
    </font>
    <font>
      <i/>
      <strike/>
      <sz val="11"/>
      <color theme="1"/>
      <name val="Arial"/>
      <family val="2"/>
    </font>
    <font>
      <strike/>
      <sz val="11"/>
      <color theme="1"/>
      <name val="Arial"/>
      <family val="2"/>
    </font>
    <font>
      <b/>
      <sz val="11"/>
      <color rgb="FF0000FF"/>
      <name val="Arial"/>
      <family val="2"/>
    </font>
    <font>
      <b/>
      <sz val="11"/>
      <color rgb="FF008000"/>
      <name val="Arial"/>
      <family val="2"/>
    </font>
    <font>
      <i/>
      <sz val="9"/>
      <name val="Arial"/>
      <family val="2"/>
    </font>
    <font>
      <i/>
      <sz val="9"/>
      <name val="Calibri"/>
      <family val="2"/>
    </font>
    <font>
      <sz val="8"/>
      <name val="Arial"/>
      <family val="2"/>
    </font>
    <font>
      <sz val="11"/>
      <color theme="1"/>
      <name val="Segoe UI"/>
      <family val="2"/>
    </font>
  </fonts>
  <fills count="83">
    <fill>
      <patternFill patternType="none"/>
    </fill>
    <fill>
      <patternFill patternType="gray125"/>
    </fill>
    <fill>
      <patternFill patternType="mediumGray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7"/>
      </patternFill>
    </fill>
    <fill>
      <patternFill patternType="solid">
        <fgColor indexed="13"/>
      </patternFill>
    </fill>
    <fill>
      <patternFill patternType="solid">
        <fgColor indexed="16"/>
      </patternFill>
    </fill>
    <fill>
      <patternFill patternType="solid">
        <fgColor indexed="20"/>
      </patternFill>
    </fill>
    <fill>
      <patternFill patternType="solid">
        <fgColor indexed="5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gray0625">
        <fgColor indexed="8"/>
      </patternFill>
    </fill>
    <fill>
      <patternFill patternType="gray125">
        <fgColor indexed="8"/>
      </patternFill>
    </fill>
    <fill>
      <patternFill patternType="solid">
        <fgColor indexed="1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/>
      <bottom style="medium">
        <color indexed="18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16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5638">
    <xf numFmtId="0" fontId="0" fillId="0" borderId="0"/>
    <xf numFmtId="43" fontId="45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62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63" fillId="0" borderId="0" applyFont="0" applyFill="0" applyBorder="0" applyAlignment="0" applyProtection="0"/>
    <xf numFmtId="43" fontId="64" fillId="0" borderId="0" applyFont="0" applyFill="0" applyBorder="0" applyAlignment="0" applyProtection="0"/>
    <xf numFmtId="44" fontId="58" fillId="0" borderId="0" applyFont="0" applyFill="0" applyBorder="0" applyAlignment="0" applyProtection="0"/>
    <xf numFmtId="0" fontId="58" fillId="0" borderId="0"/>
    <xf numFmtId="0" fontId="58" fillId="0" borderId="0"/>
    <xf numFmtId="0" fontId="65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169" fontId="45" fillId="0" borderId="0"/>
    <xf numFmtId="169" fontId="45" fillId="0" borderId="0"/>
    <xf numFmtId="169" fontId="45" fillId="0" borderId="0"/>
    <xf numFmtId="169" fontId="58" fillId="0" borderId="0"/>
    <xf numFmtId="169" fontId="45" fillId="0" borderId="0"/>
    <xf numFmtId="0" fontId="46" fillId="0" borderId="0"/>
    <xf numFmtId="0" fontId="46" fillId="0" borderId="0"/>
    <xf numFmtId="0" fontId="45" fillId="0" borderId="0"/>
    <xf numFmtId="0" fontId="58" fillId="0" borderId="0"/>
    <xf numFmtId="0" fontId="64" fillId="0" borderId="0"/>
    <xf numFmtId="0" fontId="45" fillId="0" borderId="0"/>
    <xf numFmtId="0" fontId="64" fillId="0" borderId="0"/>
    <xf numFmtId="0" fontId="45" fillId="0" borderId="0"/>
    <xf numFmtId="0" fontId="64" fillId="0" borderId="0"/>
    <xf numFmtId="0" fontId="46" fillId="0" borderId="0"/>
    <xf numFmtId="0" fontId="46" fillId="0" borderId="0"/>
    <xf numFmtId="9" fontId="45" fillId="0" borderId="0" applyFont="0" applyFill="0" applyBorder="0" applyAlignment="0" applyProtection="0"/>
    <xf numFmtId="9" fontId="58" fillId="0" borderId="0" applyFont="0" applyFill="0" applyBorder="0" applyAlignment="0" applyProtection="0"/>
    <xf numFmtId="0" fontId="47" fillId="0" borderId="0" applyNumberFormat="0" applyFont="0" applyFill="0" applyBorder="0" applyAlignment="0" applyProtection="0">
      <alignment horizontal="left"/>
    </xf>
    <xf numFmtId="15" fontId="47" fillId="0" borderId="0" applyFont="0" applyFill="0" applyBorder="0" applyAlignment="0" applyProtection="0"/>
    <xf numFmtId="4" fontId="47" fillId="0" borderId="0" applyFont="0" applyFill="0" applyBorder="0" applyAlignment="0" applyProtection="0"/>
    <xf numFmtId="0" fontId="48" fillId="0" borderId="1">
      <alignment horizontal="center"/>
    </xf>
    <xf numFmtId="3" fontId="47" fillId="0" borderId="0" applyFont="0" applyFill="0" applyBorder="0" applyAlignment="0" applyProtection="0"/>
    <xf numFmtId="0" fontId="47" fillId="2" borderId="0" applyNumberFormat="0" applyFont="0" applyBorder="0" applyAlignment="0" applyProtection="0"/>
    <xf numFmtId="0" fontId="45" fillId="0" borderId="0"/>
    <xf numFmtId="0" fontId="44" fillId="0" borderId="0"/>
    <xf numFmtId="43" fontId="45" fillId="0" borderId="0" applyFont="0" applyFill="0" applyBorder="0" applyAlignment="0" applyProtection="0"/>
    <xf numFmtId="0" fontId="43" fillId="0" borderId="0"/>
    <xf numFmtId="0" fontId="45" fillId="0" borderId="0"/>
    <xf numFmtId="0" fontId="67" fillId="40" borderId="0" applyNumberFormat="0" applyBorder="0" applyAlignment="0" applyProtection="0"/>
    <xf numFmtId="0" fontId="68" fillId="17" borderId="0" applyNumberFormat="0" applyBorder="0" applyAlignment="0" applyProtection="0"/>
    <xf numFmtId="0" fontId="67" fillId="40" borderId="0" applyNumberFormat="0" applyBorder="0" applyAlignment="0" applyProtection="0"/>
    <xf numFmtId="0" fontId="67" fillId="40" borderId="0" applyNumberFormat="0" applyBorder="0" applyAlignment="0" applyProtection="0"/>
    <xf numFmtId="0" fontId="69" fillId="17" borderId="0" applyNumberFormat="0" applyBorder="0" applyAlignment="0" applyProtection="0"/>
    <xf numFmtId="0" fontId="67" fillId="41" borderId="0" applyNumberFormat="0" applyBorder="0" applyAlignment="0" applyProtection="0"/>
    <xf numFmtId="0" fontId="68" fillId="21" borderId="0" applyNumberFormat="0" applyBorder="0" applyAlignment="0" applyProtection="0"/>
    <xf numFmtId="0" fontId="67" fillId="41" borderId="0" applyNumberFormat="0" applyBorder="0" applyAlignment="0" applyProtection="0"/>
    <xf numFmtId="0" fontId="67" fillId="41" borderId="0" applyNumberFormat="0" applyBorder="0" applyAlignment="0" applyProtection="0"/>
    <xf numFmtId="0" fontId="69" fillId="21" borderId="0" applyNumberFormat="0" applyBorder="0" applyAlignment="0" applyProtection="0"/>
    <xf numFmtId="0" fontId="67" fillId="42" borderId="0" applyNumberFormat="0" applyBorder="0" applyAlignment="0" applyProtection="0"/>
    <xf numFmtId="0" fontId="68" fillId="25" borderId="0" applyNumberFormat="0" applyBorder="0" applyAlignment="0" applyProtection="0"/>
    <xf numFmtId="0" fontId="67" fillId="42" borderId="0" applyNumberFormat="0" applyBorder="0" applyAlignment="0" applyProtection="0"/>
    <xf numFmtId="0" fontId="67" fillId="42" borderId="0" applyNumberFormat="0" applyBorder="0" applyAlignment="0" applyProtection="0"/>
    <xf numFmtId="0" fontId="69" fillId="25" borderId="0" applyNumberFormat="0" applyBorder="0" applyAlignment="0" applyProtection="0"/>
    <xf numFmtId="0" fontId="67" fillId="43" borderId="0" applyNumberFormat="0" applyBorder="0" applyAlignment="0" applyProtection="0"/>
    <xf numFmtId="0" fontId="68" fillId="29" borderId="0" applyNumberFormat="0" applyBorder="0" applyAlignment="0" applyProtection="0"/>
    <xf numFmtId="0" fontId="67" fillId="43" borderId="0" applyNumberFormat="0" applyBorder="0" applyAlignment="0" applyProtection="0"/>
    <xf numFmtId="0" fontId="67" fillId="43" borderId="0" applyNumberFormat="0" applyBorder="0" applyAlignment="0" applyProtection="0"/>
    <xf numFmtId="0" fontId="69" fillId="29" borderId="0" applyNumberFormat="0" applyBorder="0" applyAlignment="0" applyProtection="0"/>
    <xf numFmtId="0" fontId="67" fillId="44" borderId="0" applyNumberFormat="0" applyBorder="0" applyAlignment="0" applyProtection="0"/>
    <xf numFmtId="0" fontId="68" fillId="33" borderId="0" applyNumberFormat="0" applyBorder="0" applyAlignment="0" applyProtection="0"/>
    <xf numFmtId="0" fontId="67" fillId="44" borderId="0" applyNumberFormat="0" applyBorder="0" applyAlignment="0" applyProtection="0"/>
    <xf numFmtId="0" fontId="67" fillId="44" borderId="0" applyNumberFormat="0" applyBorder="0" applyAlignment="0" applyProtection="0"/>
    <xf numFmtId="0" fontId="69" fillId="33" borderId="0" applyNumberFormat="0" applyBorder="0" applyAlignment="0" applyProtection="0"/>
    <xf numFmtId="0" fontId="67" fillId="45" borderId="0" applyNumberFormat="0" applyBorder="0" applyAlignment="0" applyProtection="0"/>
    <xf numFmtId="0" fontId="68" fillId="37" borderId="0" applyNumberFormat="0" applyBorder="0" applyAlignment="0" applyProtection="0"/>
    <xf numFmtId="0" fontId="67" fillId="45" borderId="0" applyNumberFormat="0" applyBorder="0" applyAlignment="0" applyProtection="0"/>
    <xf numFmtId="0" fontId="67" fillId="45" borderId="0" applyNumberFormat="0" applyBorder="0" applyAlignment="0" applyProtection="0"/>
    <xf numFmtId="0" fontId="69" fillId="37" borderId="0" applyNumberFormat="0" applyBorder="0" applyAlignment="0" applyProtection="0"/>
    <xf numFmtId="0" fontId="67" fillId="46" borderId="0" applyNumberFormat="0" applyBorder="0" applyAlignment="0" applyProtection="0"/>
    <xf numFmtId="0" fontId="68" fillId="18" borderId="0" applyNumberFormat="0" applyBorder="0" applyAlignment="0" applyProtection="0"/>
    <xf numFmtId="0" fontId="67" fillId="46" borderId="0" applyNumberFormat="0" applyBorder="0" applyAlignment="0" applyProtection="0"/>
    <xf numFmtId="0" fontId="67" fillId="46" borderId="0" applyNumberFormat="0" applyBorder="0" applyAlignment="0" applyProtection="0"/>
    <xf numFmtId="0" fontId="69" fillId="18" borderId="0" applyNumberFormat="0" applyBorder="0" applyAlignment="0" applyProtection="0"/>
    <xf numFmtId="0" fontId="67" fillId="47" borderId="0" applyNumberFormat="0" applyBorder="0" applyAlignment="0" applyProtection="0"/>
    <xf numFmtId="0" fontId="68" fillId="22" borderId="0" applyNumberFormat="0" applyBorder="0" applyAlignment="0" applyProtection="0"/>
    <xf numFmtId="0" fontId="67" fillId="47" borderId="0" applyNumberFormat="0" applyBorder="0" applyAlignment="0" applyProtection="0"/>
    <xf numFmtId="0" fontId="67" fillId="47" borderId="0" applyNumberFormat="0" applyBorder="0" applyAlignment="0" applyProtection="0"/>
    <xf numFmtId="0" fontId="69" fillId="22" borderId="0" applyNumberFormat="0" applyBorder="0" applyAlignment="0" applyProtection="0"/>
    <xf numFmtId="0" fontId="67" fillId="48" borderId="0" applyNumberFormat="0" applyBorder="0" applyAlignment="0" applyProtection="0"/>
    <xf numFmtId="0" fontId="68" fillId="26" borderId="0" applyNumberFormat="0" applyBorder="0" applyAlignment="0" applyProtection="0"/>
    <xf numFmtId="0" fontId="67" fillId="48" borderId="0" applyNumberFormat="0" applyBorder="0" applyAlignment="0" applyProtection="0"/>
    <xf numFmtId="0" fontId="67" fillId="48" borderId="0" applyNumberFormat="0" applyBorder="0" applyAlignment="0" applyProtection="0"/>
    <xf numFmtId="0" fontId="69" fillId="26" borderId="0" applyNumberFormat="0" applyBorder="0" applyAlignment="0" applyProtection="0"/>
    <xf numFmtId="0" fontId="67" fillId="43" borderId="0" applyNumberFormat="0" applyBorder="0" applyAlignment="0" applyProtection="0"/>
    <xf numFmtId="0" fontId="68" fillId="30" borderId="0" applyNumberFormat="0" applyBorder="0" applyAlignment="0" applyProtection="0"/>
    <xf numFmtId="0" fontId="67" fillId="43" borderId="0" applyNumberFormat="0" applyBorder="0" applyAlignment="0" applyProtection="0"/>
    <xf numFmtId="0" fontId="67" fillId="43" borderId="0" applyNumberFormat="0" applyBorder="0" applyAlignment="0" applyProtection="0"/>
    <xf numFmtId="0" fontId="69" fillId="30" borderId="0" applyNumberFormat="0" applyBorder="0" applyAlignment="0" applyProtection="0"/>
    <xf numFmtId="0" fontId="67" fillId="46" borderId="0" applyNumberFormat="0" applyBorder="0" applyAlignment="0" applyProtection="0"/>
    <xf numFmtId="0" fontId="68" fillId="34" borderId="0" applyNumberFormat="0" applyBorder="0" applyAlignment="0" applyProtection="0"/>
    <xf numFmtId="0" fontId="67" fillId="46" borderId="0" applyNumberFormat="0" applyBorder="0" applyAlignment="0" applyProtection="0"/>
    <xf numFmtId="0" fontId="67" fillId="46" borderId="0" applyNumberFormat="0" applyBorder="0" applyAlignment="0" applyProtection="0"/>
    <xf numFmtId="0" fontId="69" fillId="34" borderId="0" applyNumberFormat="0" applyBorder="0" applyAlignment="0" applyProtection="0"/>
    <xf numFmtId="0" fontId="67" fillId="49" borderId="0" applyNumberFormat="0" applyBorder="0" applyAlignment="0" applyProtection="0"/>
    <xf numFmtId="0" fontId="68" fillId="38" borderId="0" applyNumberFormat="0" applyBorder="0" applyAlignment="0" applyProtection="0"/>
    <xf numFmtId="0" fontId="67" fillId="49" borderId="0" applyNumberFormat="0" applyBorder="0" applyAlignment="0" applyProtection="0"/>
    <xf numFmtId="0" fontId="67" fillId="49" borderId="0" applyNumberFormat="0" applyBorder="0" applyAlignment="0" applyProtection="0"/>
    <xf numFmtId="0" fontId="69" fillId="38" borderId="0" applyNumberFormat="0" applyBorder="0" applyAlignment="0" applyProtection="0"/>
    <xf numFmtId="0" fontId="70" fillId="50" borderId="0" applyNumberFormat="0" applyBorder="0" applyAlignment="0" applyProtection="0"/>
    <xf numFmtId="0" fontId="71" fillId="19" borderId="0" applyNumberFormat="0" applyBorder="0" applyAlignment="0" applyProtection="0"/>
    <xf numFmtId="0" fontId="70" fillId="50" borderId="0" applyNumberFormat="0" applyBorder="0" applyAlignment="0" applyProtection="0"/>
    <xf numFmtId="0" fontId="70" fillId="50" borderId="0" applyNumberFormat="0" applyBorder="0" applyAlignment="0" applyProtection="0"/>
    <xf numFmtId="0" fontId="72" fillId="19" borderId="0" applyNumberFormat="0" applyBorder="0" applyAlignment="0" applyProtection="0"/>
    <xf numFmtId="0" fontId="70" fillId="47" borderId="0" applyNumberFormat="0" applyBorder="0" applyAlignment="0" applyProtection="0"/>
    <xf numFmtId="0" fontId="71" fillId="23" borderId="0" applyNumberFormat="0" applyBorder="0" applyAlignment="0" applyProtection="0"/>
    <xf numFmtId="0" fontId="70" fillId="47" borderId="0" applyNumberFormat="0" applyBorder="0" applyAlignment="0" applyProtection="0"/>
    <xf numFmtId="0" fontId="70" fillId="47" borderId="0" applyNumberFormat="0" applyBorder="0" applyAlignment="0" applyProtection="0"/>
    <xf numFmtId="0" fontId="72" fillId="23" borderId="0" applyNumberFormat="0" applyBorder="0" applyAlignment="0" applyProtection="0"/>
    <xf numFmtId="0" fontId="70" fillId="48" borderId="0" applyNumberFormat="0" applyBorder="0" applyAlignment="0" applyProtection="0"/>
    <xf numFmtId="0" fontId="71" fillId="27" borderId="0" applyNumberFormat="0" applyBorder="0" applyAlignment="0" applyProtection="0"/>
    <xf numFmtId="0" fontId="70" fillId="48" borderId="0" applyNumberFormat="0" applyBorder="0" applyAlignment="0" applyProtection="0"/>
    <xf numFmtId="0" fontId="70" fillId="48" borderId="0" applyNumberFormat="0" applyBorder="0" applyAlignment="0" applyProtection="0"/>
    <xf numFmtId="0" fontId="72" fillId="27" borderId="0" applyNumberFormat="0" applyBorder="0" applyAlignment="0" applyProtection="0"/>
    <xf numFmtId="0" fontId="70" fillId="51" borderId="0" applyNumberFormat="0" applyBorder="0" applyAlignment="0" applyProtection="0"/>
    <xf numFmtId="0" fontId="71" fillId="31" borderId="0" applyNumberFormat="0" applyBorder="0" applyAlignment="0" applyProtection="0"/>
    <xf numFmtId="0" fontId="70" fillId="51" borderId="0" applyNumberFormat="0" applyBorder="0" applyAlignment="0" applyProtection="0"/>
    <xf numFmtId="0" fontId="70" fillId="51" borderId="0" applyNumberFormat="0" applyBorder="0" applyAlignment="0" applyProtection="0"/>
    <xf numFmtId="0" fontId="72" fillId="31" borderId="0" applyNumberFormat="0" applyBorder="0" applyAlignment="0" applyProtection="0"/>
    <xf numFmtId="0" fontId="70" fillId="52" borderId="0" applyNumberFormat="0" applyBorder="0" applyAlignment="0" applyProtection="0"/>
    <xf numFmtId="0" fontId="71" fillId="35" borderId="0" applyNumberFormat="0" applyBorder="0" applyAlignment="0" applyProtection="0"/>
    <xf numFmtId="0" fontId="70" fillId="52" borderId="0" applyNumberFormat="0" applyBorder="0" applyAlignment="0" applyProtection="0"/>
    <xf numFmtId="0" fontId="70" fillId="52" borderId="0" applyNumberFormat="0" applyBorder="0" applyAlignment="0" applyProtection="0"/>
    <xf numFmtId="0" fontId="72" fillId="35" borderId="0" applyNumberFormat="0" applyBorder="0" applyAlignment="0" applyProtection="0"/>
    <xf numFmtId="0" fontId="70" fillId="53" borderId="0" applyNumberFormat="0" applyBorder="0" applyAlignment="0" applyProtection="0"/>
    <xf numFmtId="0" fontId="71" fillId="39" borderId="0" applyNumberFormat="0" applyBorder="0" applyAlignment="0" applyProtection="0"/>
    <xf numFmtId="0" fontId="70" fillId="53" borderId="0" applyNumberFormat="0" applyBorder="0" applyAlignment="0" applyProtection="0"/>
    <xf numFmtId="0" fontId="70" fillId="53" borderId="0" applyNumberFormat="0" applyBorder="0" applyAlignment="0" applyProtection="0"/>
    <xf numFmtId="0" fontId="72" fillId="39" borderId="0" applyNumberFormat="0" applyBorder="0" applyAlignment="0" applyProtection="0"/>
    <xf numFmtId="0" fontId="73" fillId="16" borderId="0" applyNumberFormat="0" applyBorder="0" applyAlignment="0" applyProtection="0"/>
    <xf numFmtId="0" fontId="71" fillId="16" borderId="0" applyNumberFormat="0" applyBorder="0" applyAlignment="0" applyProtection="0"/>
    <xf numFmtId="0" fontId="70" fillId="54" borderId="0" applyNumberFormat="0" applyBorder="0" applyAlignment="0" applyProtection="0"/>
    <xf numFmtId="0" fontId="70" fillId="54" borderId="0" applyNumberFormat="0" applyBorder="0" applyAlignment="0" applyProtection="0"/>
    <xf numFmtId="0" fontId="70" fillId="54" borderId="0" applyNumberFormat="0" applyBorder="0" applyAlignment="0" applyProtection="0"/>
    <xf numFmtId="0" fontId="72" fillId="16" borderId="0" applyNumberFormat="0" applyBorder="0" applyAlignment="0" applyProtection="0"/>
    <xf numFmtId="0" fontId="70" fillId="55" borderId="0" applyNumberFormat="0" applyBorder="0" applyAlignment="0" applyProtection="0"/>
    <xf numFmtId="0" fontId="71" fillId="20" borderId="0" applyNumberFormat="0" applyBorder="0" applyAlignment="0" applyProtection="0"/>
    <xf numFmtId="0" fontId="70" fillId="55" borderId="0" applyNumberFormat="0" applyBorder="0" applyAlignment="0" applyProtection="0"/>
    <xf numFmtId="0" fontId="70" fillId="55" borderId="0" applyNumberFormat="0" applyBorder="0" applyAlignment="0" applyProtection="0"/>
    <xf numFmtId="0" fontId="72" fillId="20" borderId="0" applyNumberFormat="0" applyBorder="0" applyAlignment="0" applyProtection="0"/>
    <xf numFmtId="0" fontId="73" fillId="24" borderId="0" applyNumberFormat="0" applyBorder="0" applyAlignment="0" applyProtection="0"/>
    <xf numFmtId="0" fontId="71" fillId="24" borderId="0" applyNumberFormat="0" applyBorder="0" applyAlignment="0" applyProtection="0"/>
    <xf numFmtId="0" fontId="70" fillId="56" borderId="0" applyNumberFormat="0" applyBorder="0" applyAlignment="0" applyProtection="0"/>
    <xf numFmtId="0" fontId="70" fillId="56" borderId="0" applyNumberFormat="0" applyBorder="0" applyAlignment="0" applyProtection="0"/>
    <xf numFmtId="0" fontId="70" fillId="56" borderId="0" applyNumberFormat="0" applyBorder="0" applyAlignment="0" applyProtection="0"/>
    <xf numFmtId="0" fontId="72" fillId="24" borderId="0" applyNumberFormat="0" applyBorder="0" applyAlignment="0" applyProtection="0"/>
    <xf numFmtId="0" fontId="73" fillId="28" borderId="0" applyNumberFormat="0" applyBorder="0" applyAlignment="0" applyProtection="0"/>
    <xf numFmtId="0" fontId="71" fillId="28" borderId="0" applyNumberFormat="0" applyBorder="0" applyAlignment="0" applyProtection="0"/>
    <xf numFmtId="0" fontId="70" fillId="51" borderId="0" applyNumberFormat="0" applyBorder="0" applyAlignment="0" applyProtection="0"/>
    <xf numFmtId="0" fontId="70" fillId="51" borderId="0" applyNumberFormat="0" applyBorder="0" applyAlignment="0" applyProtection="0"/>
    <xf numFmtId="0" fontId="70" fillId="51" borderId="0" applyNumberFormat="0" applyBorder="0" applyAlignment="0" applyProtection="0"/>
    <xf numFmtId="0" fontId="72" fillId="28" borderId="0" applyNumberFormat="0" applyBorder="0" applyAlignment="0" applyProtection="0"/>
    <xf numFmtId="0" fontId="70" fillId="52" borderId="0" applyNumberFormat="0" applyBorder="0" applyAlignment="0" applyProtection="0"/>
    <xf numFmtId="0" fontId="71" fillId="32" borderId="0" applyNumberFormat="0" applyBorder="0" applyAlignment="0" applyProtection="0"/>
    <xf numFmtId="0" fontId="70" fillId="52" borderId="0" applyNumberFormat="0" applyBorder="0" applyAlignment="0" applyProtection="0"/>
    <xf numFmtId="0" fontId="70" fillId="52" borderId="0" applyNumberFormat="0" applyBorder="0" applyAlignment="0" applyProtection="0"/>
    <xf numFmtId="0" fontId="72" fillId="32" borderId="0" applyNumberFormat="0" applyBorder="0" applyAlignment="0" applyProtection="0"/>
    <xf numFmtId="0" fontId="73" fillId="36" borderId="0" applyNumberFormat="0" applyBorder="0" applyAlignment="0" applyProtection="0"/>
    <xf numFmtId="0" fontId="71" fillId="36" borderId="0" applyNumberFormat="0" applyBorder="0" applyAlignment="0" applyProtection="0"/>
    <xf numFmtId="0" fontId="70" fillId="57" borderId="0" applyNumberFormat="0" applyBorder="0" applyAlignment="0" applyProtection="0"/>
    <xf numFmtId="0" fontId="70" fillId="57" borderId="0" applyNumberFormat="0" applyBorder="0" applyAlignment="0" applyProtection="0"/>
    <xf numFmtId="0" fontId="70" fillId="57" borderId="0" applyNumberFormat="0" applyBorder="0" applyAlignment="0" applyProtection="0"/>
    <xf numFmtId="0" fontId="72" fillId="36" borderId="0" applyNumberFormat="0" applyBorder="0" applyAlignment="0" applyProtection="0"/>
    <xf numFmtId="0" fontId="74" fillId="41" borderId="0" applyNumberFormat="0" applyBorder="0" applyAlignment="0" applyProtection="0"/>
    <xf numFmtId="0" fontId="75" fillId="10" borderId="0" applyNumberFormat="0" applyBorder="0" applyAlignment="0" applyProtection="0"/>
    <xf numFmtId="0" fontId="74" fillId="41" borderId="0" applyNumberFormat="0" applyBorder="0" applyAlignment="0" applyProtection="0"/>
    <xf numFmtId="0" fontId="74" fillId="41" borderId="0" applyNumberFormat="0" applyBorder="0" applyAlignment="0" applyProtection="0"/>
    <xf numFmtId="0" fontId="76" fillId="10" borderId="0" applyNumberFormat="0" applyBorder="0" applyAlignment="0" applyProtection="0"/>
    <xf numFmtId="0" fontId="77" fillId="58" borderId="15" applyNumberFormat="0" applyAlignment="0" applyProtection="0"/>
    <xf numFmtId="0" fontId="78" fillId="13" borderId="9" applyNumberFormat="0" applyAlignment="0" applyProtection="0"/>
    <xf numFmtId="0" fontId="77" fillId="58" borderId="15" applyNumberFormat="0" applyAlignment="0" applyProtection="0"/>
    <xf numFmtId="0" fontId="77" fillId="58" borderId="15" applyNumberFormat="0" applyAlignment="0" applyProtection="0"/>
    <xf numFmtId="0" fontId="79" fillId="13" borderId="9" applyNumberFormat="0" applyAlignment="0" applyProtection="0"/>
    <xf numFmtId="0" fontId="80" fillId="14" borderId="12" applyNumberFormat="0" applyAlignment="0" applyProtection="0"/>
    <xf numFmtId="0" fontId="81" fillId="14" borderId="12" applyNumberFormat="0" applyAlignment="0" applyProtection="0"/>
    <xf numFmtId="0" fontId="82" fillId="59" borderId="16" applyNumberFormat="0" applyAlignment="0" applyProtection="0"/>
    <xf numFmtId="0" fontId="82" fillId="59" borderId="16" applyNumberFormat="0" applyAlignment="0" applyProtection="0"/>
    <xf numFmtId="0" fontId="82" fillId="59" borderId="16" applyNumberFormat="0" applyAlignment="0" applyProtection="0"/>
    <xf numFmtId="0" fontId="80" fillId="14" borderId="12" applyNumberFormat="0" applyAlignment="0" applyProtection="0"/>
    <xf numFmtId="0" fontId="83" fillId="14" borderId="12" applyNumberFormat="0" applyAlignment="0" applyProtection="0"/>
    <xf numFmtId="43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4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43" fontId="68" fillId="0" borderId="0" applyFont="0" applyFill="0" applyBorder="0" applyAlignment="0" applyProtection="0"/>
    <xf numFmtId="43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4" fillId="0" borderId="0" applyFont="0" applyFill="0" applyBorder="0" applyAlignment="0" applyProtection="0"/>
    <xf numFmtId="43" fontId="69" fillId="0" borderId="0" applyFont="0" applyFill="0" applyBorder="0" applyAlignment="0" applyProtection="0"/>
    <xf numFmtId="44" fontId="84" fillId="0" borderId="0" applyFont="0" applyFill="0" applyBorder="0" applyAlignment="0" applyProtection="0"/>
    <xf numFmtId="44" fontId="84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69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69" fillId="0" borderId="0" applyFont="0" applyFill="0" applyBorder="0" applyAlignment="0" applyProtection="0"/>
    <xf numFmtId="44" fontId="44" fillId="0" borderId="0" applyFont="0" applyFill="0" applyBorder="0" applyAlignment="0" applyProtection="0"/>
    <xf numFmtId="44" fontId="69" fillId="0" borderId="0" applyFont="0" applyFill="0" applyBorder="0" applyAlignment="0" applyProtection="0"/>
    <xf numFmtId="178" fontId="66" fillId="0" borderId="0" applyFont="0" applyFill="0" applyBorder="0" applyAlignment="0" applyProtection="0"/>
    <xf numFmtId="0" fontId="85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88" fillId="9" borderId="0" applyNumberFormat="0" applyBorder="0" applyAlignment="0" applyProtection="0"/>
    <xf numFmtId="0" fontId="88" fillId="9" borderId="0" applyNumberFormat="0" applyBorder="0" applyAlignment="0" applyProtection="0"/>
    <xf numFmtId="0" fontId="89" fillId="42" borderId="0" applyNumberFormat="0" applyBorder="0" applyAlignment="0" applyProtection="0"/>
    <xf numFmtId="0" fontId="89" fillId="42" borderId="0" applyNumberFormat="0" applyBorder="0" applyAlignment="0" applyProtection="0"/>
    <xf numFmtId="0" fontId="90" fillId="9" borderId="0" applyNumberFormat="0" applyBorder="0" applyAlignment="0" applyProtection="0"/>
    <xf numFmtId="0" fontId="89" fillId="42" borderId="0" applyNumberFormat="0" applyBorder="0" applyAlignment="0" applyProtection="0"/>
    <xf numFmtId="0" fontId="91" fillId="9" borderId="0" applyNumberFormat="0" applyBorder="0" applyAlignment="0" applyProtection="0"/>
    <xf numFmtId="0" fontId="92" fillId="9" borderId="0" applyNumberFormat="0" applyBorder="0" applyAlignment="0" applyProtection="0"/>
    <xf numFmtId="0" fontId="93" fillId="0" borderId="17" applyNumberFormat="0" applyFill="0" applyAlignment="0" applyProtection="0"/>
    <xf numFmtId="0" fontId="94" fillId="0" borderId="6" applyNumberFormat="0" applyFill="0" applyAlignment="0" applyProtection="0"/>
    <xf numFmtId="0" fontId="93" fillId="0" borderId="17" applyNumberFormat="0" applyFill="0" applyAlignment="0" applyProtection="0"/>
    <xf numFmtId="0" fontId="93" fillId="0" borderId="17" applyNumberFormat="0" applyFill="0" applyAlignment="0" applyProtection="0"/>
    <xf numFmtId="0" fontId="95" fillId="0" borderId="6" applyNumberFormat="0" applyFill="0" applyAlignment="0" applyProtection="0"/>
    <xf numFmtId="0" fontId="96" fillId="0" borderId="18" applyNumberFormat="0" applyFill="0" applyAlignment="0" applyProtection="0"/>
    <xf numFmtId="0" fontId="97" fillId="0" borderId="7" applyNumberFormat="0" applyFill="0" applyAlignment="0" applyProtection="0"/>
    <xf numFmtId="0" fontId="96" fillId="0" borderId="18" applyNumberFormat="0" applyFill="0" applyAlignment="0" applyProtection="0"/>
    <xf numFmtId="0" fontId="96" fillId="0" borderId="18" applyNumberFormat="0" applyFill="0" applyAlignment="0" applyProtection="0"/>
    <xf numFmtId="0" fontId="98" fillId="0" borderId="7" applyNumberFormat="0" applyFill="0" applyAlignment="0" applyProtection="0"/>
    <xf numFmtId="0" fontId="99" fillId="0" borderId="19" applyNumberFormat="0" applyFill="0" applyAlignment="0" applyProtection="0"/>
    <xf numFmtId="0" fontId="100" fillId="0" borderId="8" applyNumberFormat="0" applyFill="0" applyAlignment="0" applyProtection="0"/>
    <xf numFmtId="0" fontId="99" fillId="0" borderId="19" applyNumberFormat="0" applyFill="0" applyAlignment="0" applyProtection="0"/>
    <xf numFmtId="0" fontId="99" fillId="0" borderId="19" applyNumberFormat="0" applyFill="0" applyAlignment="0" applyProtection="0"/>
    <xf numFmtId="0" fontId="101" fillId="0" borderId="8" applyNumberFormat="0" applyFill="0" applyAlignment="0" applyProtection="0"/>
    <xf numFmtId="0" fontId="99" fillId="0" borderId="0" applyNumberFormat="0" applyFill="0" applyBorder="0" applyAlignment="0" applyProtection="0"/>
    <xf numFmtId="0" fontId="100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3" fillId="12" borderId="9" applyNumberFormat="0" applyAlignment="0" applyProtection="0"/>
    <xf numFmtId="0" fontId="104" fillId="12" borderId="9" applyNumberFormat="0" applyAlignment="0" applyProtection="0"/>
    <xf numFmtId="0" fontId="105" fillId="45" borderId="15" applyNumberFormat="0" applyAlignment="0" applyProtection="0"/>
    <xf numFmtId="0" fontId="105" fillId="45" borderId="15" applyNumberFormat="0" applyAlignment="0" applyProtection="0"/>
    <xf numFmtId="0" fontId="105" fillId="45" borderId="15" applyNumberFormat="0" applyAlignment="0" applyProtection="0"/>
    <xf numFmtId="0" fontId="103" fillId="12" borderId="9" applyNumberFormat="0" applyAlignment="0" applyProtection="0"/>
    <xf numFmtId="0" fontId="106" fillId="12" borderId="9" applyNumberFormat="0" applyAlignment="0" applyProtection="0"/>
    <xf numFmtId="0" fontId="107" fillId="0" borderId="20" applyNumberFormat="0" applyFill="0" applyAlignment="0" applyProtection="0"/>
    <xf numFmtId="0" fontId="108" fillId="0" borderId="11" applyNumberFormat="0" applyFill="0" applyAlignment="0" applyProtection="0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0" fontId="109" fillId="0" borderId="11" applyNumberFormat="0" applyFill="0" applyAlignment="0" applyProtection="0"/>
    <xf numFmtId="0" fontId="110" fillId="60" borderId="0" applyNumberFormat="0" applyBorder="0" applyAlignment="0" applyProtection="0"/>
    <xf numFmtId="0" fontId="111" fillId="11" borderId="0" applyNumberFormat="0" applyBorder="0" applyAlignment="0" applyProtection="0"/>
    <xf numFmtId="0" fontId="110" fillId="60" borderId="0" applyNumberFormat="0" applyBorder="0" applyAlignment="0" applyProtection="0"/>
    <xf numFmtId="0" fontId="110" fillId="60" borderId="0" applyNumberFormat="0" applyBorder="0" applyAlignment="0" applyProtection="0"/>
    <xf numFmtId="0" fontId="112" fillId="11" borderId="0" applyNumberFormat="0" applyBorder="0" applyAlignment="0" applyProtection="0"/>
    <xf numFmtId="0" fontId="45" fillId="0" borderId="0"/>
    <xf numFmtId="0" fontId="44" fillId="0" borderId="0"/>
    <xf numFmtId="0" fontId="45" fillId="0" borderId="0"/>
    <xf numFmtId="0" fontId="45" fillId="0" borderId="0"/>
    <xf numFmtId="0" fontId="69" fillId="0" borderId="0"/>
    <xf numFmtId="0" fontId="44" fillId="0" borderId="0"/>
    <xf numFmtId="0" fontId="69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5" fillId="0" borderId="0">
      <alignment wrapText="1"/>
    </xf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84" fillId="0" borderId="0"/>
    <xf numFmtId="0" fontId="84" fillId="0" borderId="0"/>
    <xf numFmtId="0" fontId="44" fillId="0" borderId="0"/>
    <xf numFmtId="0" fontId="44" fillId="0" borderId="0"/>
    <xf numFmtId="0" fontId="44" fillId="0" borderId="0"/>
    <xf numFmtId="0" fontId="68" fillId="0" borderId="0"/>
    <xf numFmtId="0" fontId="44" fillId="0" borderId="0"/>
    <xf numFmtId="0" fontId="44" fillId="0" borderId="0"/>
    <xf numFmtId="0" fontId="84" fillId="0" borderId="0"/>
    <xf numFmtId="0" fontId="8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5" fillId="0" borderId="0"/>
    <xf numFmtId="0" fontId="45" fillId="0" borderId="0"/>
    <xf numFmtId="0" fontId="45" fillId="0" borderId="0"/>
    <xf numFmtId="0" fontId="69" fillId="0" borderId="0"/>
    <xf numFmtId="0" fontId="44" fillId="0" borderId="0"/>
    <xf numFmtId="0" fontId="45" fillId="61" borderId="21" applyNumberFormat="0" applyFont="0" applyAlignment="0" applyProtection="0"/>
    <xf numFmtId="0" fontId="68" fillId="15" borderId="13" applyNumberFormat="0" applyFont="0" applyAlignment="0" applyProtection="0"/>
    <xf numFmtId="0" fontId="45" fillId="61" borderId="21" applyNumberFormat="0" applyFont="0" applyAlignment="0" applyProtection="0"/>
    <xf numFmtId="0" fontId="45" fillId="61" borderId="21" applyNumberFormat="0" applyFont="0" applyAlignment="0" applyProtection="0"/>
    <xf numFmtId="0" fontId="44" fillId="15" borderId="13" applyNumberFormat="0" applyFont="0" applyAlignment="0" applyProtection="0"/>
    <xf numFmtId="0" fontId="44" fillId="15" borderId="13" applyNumberFormat="0" applyFont="0" applyAlignment="0" applyProtection="0"/>
    <xf numFmtId="0" fontId="45" fillId="61" borderId="21" applyNumberFormat="0" applyFont="0" applyAlignment="0" applyProtection="0"/>
    <xf numFmtId="0" fontId="69" fillId="15" borderId="13" applyNumberFormat="0" applyFont="0" applyAlignment="0" applyProtection="0"/>
    <xf numFmtId="0" fontId="113" fillId="58" borderId="22" applyNumberFormat="0" applyAlignment="0" applyProtection="0"/>
    <xf numFmtId="0" fontId="114" fillId="13" borderId="10" applyNumberFormat="0" applyAlignment="0" applyProtection="0"/>
    <xf numFmtId="0" fontId="113" fillId="58" borderId="22" applyNumberFormat="0" applyAlignment="0" applyProtection="0"/>
    <xf numFmtId="0" fontId="113" fillId="58" borderId="22" applyNumberFormat="0" applyAlignment="0" applyProtection="0"/>
    <xf numFmtId="0" fontId="115" fillId="13" borderId="10" applyNumberFormat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8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0" fontId="11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7" fillId="0" borderId="23" applyNumberFormat="0" applyFill="0" applyAlignment="0" applyProtection="0"/>
    <xf numFmtId="0" fontId="118" fillId="0" borderId="14" applyNumberFormat="0" applyFill="0" applyAlignment="0" applyProtection="0"/>
    <xf numFmtId="0" fontId="117" fillId="0" borderId="23" applyNumberFormat="0" applyFill="0" applyAlignment="0" applyProtection="0"/>
    <xf numFmtId="0" fontId="117" fillId="0" borderId="23" applyNumberFormat="0" applyFill="0" applyAlignment="0" applyProtection="0"/>
    <xf numFmtId="0" fontId="119" fillId="0" borderId="14" applyNumberFormat="0" applyFill="0" applyAlignment="0" applyProtection="0"/>
    <xf numFmtId="0" fontId="120" fillId="0" borderId="0">
      <alignment horizontal="center"/>
    </xf>
    <xf numFmtId="0" fontId="121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0" fontId="121" fillId="0" borderId="0" applyNumberFormat="0" applyFill="0" applyBorder="0" applyAlignment="0" applyProtection="0"/>
    <xf numFmtId="0" fontId="121" fillId="0" borderId="0" applyNumberFormat="0" applyFill="0" applyBorder="0" applyAlignment="0" applyProtection="0"/>
    <xf numFmtId="0" fontId="123" fillId="0" borderId="0" applyNumberFormat="0" applyFill="0" applyBorder="0" applyAlignment="0" applyProtection="0"/>
    <xf numFmtId="44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0" fontId="125" fillId="10" borderId="0" applyNumberFormat="0" applyBorder="0" applyAlignment="0" applyProtection="0"/>
    <xf numFmtId="0" fontId="126" fillId="11" borderId="0" applyNumberFormat="0" applyBorder="0" applyAlignment="0" applyProtection="0"/>
    <xf numFmtId="0" fontId="73" fillId="20" borderId="0" applyNumberFormat="0" applyBorder="0" applyAlignment="0" applyProtection="0"/>
    <xf numFmtId="0" fontId="91" fillId="9" borderId="0" applyNumberFormat="0" applyBorder="0" applyAlignment="0" applyProtection="0"/>
    <xf numFmtId="0" fontId="42" fillId="0" borderId="0"/>
    <xf numFmtId="43" fontId="42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0" fontId="45" fillId="0" borderId="0"/>
    <xf numFmtId="0" fontId="41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0" borderId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4" fontId="41" fillId="0" borderId="0" applyFon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15" borderId="13" applyNumberFormat="0" applyFont="0" applyAlignment="0" applyProtection="0"/>
    <xf numFmtId="0" fontId="41" fillId="15" borderId="13" applyNumberFormat="0" applyFont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0" fontId="41" fillId="0" borderId="0"/>
    <xf numFmtId="43" fontId="41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44" fontId="40" fillId="0" borderId="0" applyFon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15" borderId="13" applyNumberFormat="0" applyFont="0" applyAlignment="0" applyProtection="0"/>
    <xf numFmtId="0" fontId="40" fillId="15" borderId="13" applyNumberFormat="0" applyFont="0" applyAlignment="0" applyProtection="0"/>
    <xf numFmtId="0" fontId="40" fillId="15" borderId="13" applyNumberFormat="0" applyFont="0" applyAlignment="0" applyProtection="0"/>
    <xf numFmtId="0" fontId="40" fillId="15" borderId="13" applyNumberFormat="0" applyFont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29" fillId="9" borderId="0" applyNumberFormat="0" applyBorder="0" applyAlignment="0" applyProtection="0"/>
    <xf numFmtId="0" fontId="45" fillId="0" borderId="0"/>
    <xf numFmtId="0" fontId="130" fillId="41" borderId="0" applyNumberFormat="0" applyBorder="0" applyAlignment="0" applyProtection="0"/>
    <xf numFmtId="0" fontId="45" fillId="0" borderId="0"/>
    <xf numFmtId="0" fontId="129" fillId="9" borderId="0" applyNumberFormat="0" applyBorder="0" applyAlignment="0" applyProtection="0"/>
    <xf numFmtId="0" fontId="40" fillId="0" borderId="0"/>
    <xf numFmtId="0" fontId="74" fillId="41" borderId="0" applyNumberFormat="0" applyBorder="0" applyAlignment="0" applyProtection="0"/>
    <xf numFmtId="44" fontId="84" fillId="0" borderId="0" applyFont="0" applyFill="0" applyBorder="0" applyAlignment="0" applyProtection="0"/>
    <xf numFmtId="0" fontId="88" fillId="9" borderId="0" applyNumberFormat="0" applyBorder="0" applyAlignment="0" applyProtection="0"/>
    <xf numFmtId="0" fontId="90" fillId="9" borderId="0" applyNumberFormat="0" applyBorder="0" applyAlignment="0" applyProtection="0"/>
    <xf numFmtId="0" fontId="84" fillId="0" borderId="0"/>
    <xf numFmtId="0" fontId="39" fillId="0" borderId="0"/>
    <xf numFmtId="0" fontId="39" fillId="0" borderId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4" fontId="39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15" borderId="13" applyNumberFormat="0" applyFont="0" applyAlignment="0" applyProtection="0"/>
    <xf numFmtId="0" fontId="39" fillId="15" borderId="13" applyNumberFormat="0" applyFont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43" fontId="131" fillId="0" borderId="0" applyFont="0" applyFill="0" applyBorder="0" applyAlignment="0" applyProtection="0"/>
    <xf numFmtId="44" fontId="131" fillId="0" borderId="0" applyFont="0" applyFill="0" applyBorder="0" applyAlignment="0" applyProtection="0"/>
    <xf numFmtId="0" fontId="131" fillId="0" borderId="0"/>
    <xf numFmtId="0" fontId="39" fillId="0" borderId="0"/>
    <xf numFmtId="43" fontId="39" fillId="0" borderId="0" applyFont="0" applyFill="0" applyBorder="0" applyAlignment="0" applyProtection="0"/>
    <xf numFmtId="0" fontId="39" fillId="0" borderId="0"/>
    <xf numFmtId="0" fontId="39" fillId="0" borderId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4" fontId="39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15" borderId="13" applyNumberFormat="0" applyFont="0" applyAlignment="0" applyProtection="0"/>
    <xf numFmtId="0" fontId="39" fillId="15" borderId="13" applyNumberFormat="0" applyFont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39" fillId="0" borderId="0"/>
    <xf numFmtId="43" fontId="39" fillId="0" borderId="0" applyFont="0" applyFill="0" applyBorder="0" applyAlignment="0" applyProtection="0"/>
    <xf numFmtId="0" fontId="39" fillId="0" borderId="0"/>
    <xf numFmtId="43" fontId="39" fillId="0" borderId="0" applyFont="0" applyFill="0" applyBorder="0" applyAlignment="0" applyProtection="0"/>
    <xf numFmtId="44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39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15" borderId="13" applyNumberFormat="0" applyFont="0" applyAlignment="0" applyProtection="0"/>
    <xf numFmtId="0" fontId="39" fillId="15" borderId="13" applyNumberFormat="0" applyFont="0" applyAlignment="0" applyProtection="0"/>
    <xf numFmtId="0" fontId="39" fillId="15" borderId="13" applyNumberFormat="0" applyFont="0" applyAlignment="0" applyProtection="0"/>
    <xf numFmtId="0" fontId="39" fillId="15" borderId="13" applyNumberFormat="0" applyFont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39" fillId="0" borderId="0"/>
    <xf numFmtId="0" fontId="38" fillId="0" borderId="0"/>
    <xf numFmtId="44" fontId="38" fillId="0" borderId="0" applyFont="0" applyFill="0" applyBorder="0" applyAlignment="0" applyProtection="0"/>
    <xf numFmtId="181" fontId="49" fillId="0" borderId="0" applyFont="0" applyFill="0" applyBorder="0" applyAlignment="0" applyProtection="0"/>
    <xf numFmtId="181" fontId="49" fillId="0" borderId="0" applyFont="0" applyFill="0" applyBorder="0" applyAlignment="0" applyProtection="0"/>
    <xf numFmtId="181" fontId="49" fillId="0" borderId="0" applyFont="0" applyFill="0" applyBorder="0" applyAlignment="0" applyProtection="0"/>
    <xf numFmtId="181" fontId="49" fillId="0" borderId="0" applyFont="0" applyFill="0" applyBorder="0" applyAlignment="0" applyProtection="0"/>
    <xf numFmtId="182" fontId="49" fillId="0" borderId="0" applyFont="0" applyFill="0" applyBorder="0" applyAlignment="0" applyProtection="0"/>
    <xf numFmtId="182" fontId="49" fillId="0" borderId="0" applyFont="0" applyFill="0" applyBorder="0" applyAlignment="0" applyProtection="0"/>
    <xf numFmtId="182" fontId="49" fillId="0" borderId="0" applyFont="0" applyFill="0" applyBorder="0" applyAlignment="0" applyProtection="0"/>
    <xf numFmtId="182" fontId="49" fillId="0" borderId="0" applyFont="0" applyFill="0" applyBorder="0" applyAlignment="0" applyProtection="0"/>
    <xf numFmtId="170" fontId="45" fillId="0" borderId="0">
      <alignment horizontal="left" wrapText="1"/>
    </xf>
    <xf numFmtId="183" fontId="49" fillId="0" borderId="0" applyFont="0" applyFill="0" applyBorder="0" applyAlignment="0" applyProtection="0"/>
    <xf numFmtId="183" fontId="49" fillId="0" borderId="0" applyFont="0" applyFill="0" applyBorder="0" applyAlignment="0" applyProtection="0"/>
    <xf numFmtId="183" fontId="49" fillId="0" borderId="0" applyFont="0" applyFill="0" applyBorder="0" applyAlignment="0" applyProtection="0"/>
    <xf numFmtId="183" fontId="49" fillId="0" borderId="0" applyFont="0" applyFill="0" applyBorder="0" applyAlignment="0" applyProtection="0"/>
    <xf numFmtId="175" fontId="45" fillId="0" borderId="0">
      <alignment horizontal="left" wrapText="1"/>
    </xf>
    <xf numFmtId="170" fontId="45" fillId="0" borderId="0">
      <alignment horizontal="left" wrapText="1"/>
    </xf>
    <xf numFmtId="184" fontId="49" fillId="0" borderId="0" applyFont="0" applyFill="0" applyBorder="0" applyAlignment="0" applyProtection="0"/>
    <xf numFmtId="184" fontId="49" fillId="0" borderId="0" applyFont="0" applyFill="0" applyBorder="0" applyAlignment="0" applyProtection="0"/>
    <xf numFmtId="184" fontId="49" fillId="0" borderId="0" applyFont="0" applyFill="0" applyBorder="0" applyAlignment="0" applyProtection="0"/>
    <xf numFmtId="184" fontId="49" fillId="0" borderId="0" applyFont="0" applyFill="0" applyBorder="0" applyAlignment="0" applyProtection="0"/>
    <xf numFmtId="185" fontId="49" fillId="0" borderId="0" applyFont="0" applyFill="0" applyBorder="0" applyAlignment="0" applyProtection="0"/>
    <xf numFmtId="185" fontId="49" fillId="0" borderId="0" applyFont="0" applyFill="0" applyBorder="0" applyAlignment="0" applyProtection="0"/>
    <xf numFmtId="185" fontId="49" fillId="0" borderId="0" applyFont="0" applyFill="0" applyBorder="0" applyAlignment="0" applyProtection="0"/>
    <xf numFmtId="185" fontId="49" fillId="0" borderId="0" applyFont="0" applyFill="0" applyBorder="0" applyAlignment="0" applyProtection="0"/>
    <xf numFmtId="186" fontId="49" fillId="0" borderId="0" applyFont="0" applyFill="0" applyBorder="0" applyAlignment="0" applyProtection="0"/>
    <xf numFmtId="186" fontId="49" fillId="0" borderId="0" applyFont="0" applyFill="0" applyBorder="0" applyAlignment="0" applyProtection="0"/>
    <xf numFmtId="186" fontId="49" fillId="0" borderId="0" applyFont="0" applyFill="0" applyBorder="0" applyAlignment="0" applyProtection="0"/>
    <xf numFmtId="186" fontId="49" fillId="0" borderId="0" applyFont="0" applyFill="0" applyBorder="0" applyAlignment="0" applyProtection="0"/>
    <xf numFmtId="170" fontId="45" fillId="0" borderId="0">
      <alignment horizontal="left" wrapText="1"/>
    </xf>
    <xf numFmtId="0" fontId="141" fillId="0" borderId="0" applyNumberFormat="0" applyFill="0" applyBorder="0" applyAlignment="0" applyProtection="0"/>
    <xf numFmtId="38" fontId="49" fillId="60" borderId="0" applyNumberFormat="0" applyFont="0" applyAlignment="0" applyProtection="0"/>
    <xf numFmtId="38" fontId="49" fillId="60" borderId="0" applyNumberFormat="0" applyFont="0" applyAlignment="0" applyProtection="0"/>
    <xf numFmtId="38" fontId="49" fillId="60" borderId="0" applyNumberFormat="0" applyFont="0" applyAlignment="0" applyProtection="0"/>
    <xf numFmtId="38" fontId="49" fillId="60" borderId="0" applyNumberFormat="0" applyFont="0" applyAlignment="0" applyProtection="0"/>
    <xf numFmtId="187" fontId="49" fillId="0" borderId="0" applyFont="0" applyFill="0" applyBorder="0" applyAlignment="0" applyProtection="0"/>
    <xf numFmtId="187" fontId="49" fillId="0" borderId="0" applyFont="0" applyFill="0" applyBorder="0" applyAlignment="0" applyProtection="0"/>
    <xf numFmtId="187" fontId="49" fillId="0" borderId="0" applyFont="0" applyFill="0" applyBorder="0" applyAlignment="0" applyProtection="0"/>
    <xf numFmtId="187" fontId="49" fillId="0" borderId="0" applyFont="0" applyFill="0" applyBorder="0" applyAlignment="0" applyProtection="0"/>
    <xf numFmtId="188" fontId="49" fillId="0" borderId="0" applyFont="0" applyFill="0" applyBorder="0" applyProtection="0">
      <alignment horizontal="right"/>
    </xf>
    <xf numFmtId="188" fontId="49" fillId="0" borderId="0" applyFont="0" applyFill="0" applyBorder="0" applyProtection="0">
      <alignment horizontal="right"/>
    </xf>
    <xf numFmtId="188" fontId="49" fillId="0" borderId="0" applyFont="0" applyFill="0" applyBorder="0" applyProtection="0">
      <alignment horizontal="right"/>
    </xf>
    <xf numFmtId="188" fontId="49" fillId="0" borderId="0" applyFont="0" applyFill="0" applyBorder="0" applyProtection="0">
      <alignment horizontal="right"/>
    </xf>
    <xf numFmtId="175" fontId="45" fillId="0" borderId="0">
      <alignment horizontal="left" wrapText="1"/>
    </xf>
    <xf numFmtId="170" fontId="45" fillId="0" borderId="0">
      <alignment horizontal="left" wrapText="1"/>
    </xf>
    <xf numFmtId="0" fontId="142" fillId="0" borderId="0" applyNumberFormat="0" applyFill="0" applyBorder="0" applyProtection="0">
      <alignment vertical="top"/>
    </xf>
    <xf numFmtId="38" fontId="143" fillId="0" borderId="26" applyNumberFormat="0" applyFill="0" applyAlignment="0" applyProtection="0"/>
    <xf numFmtId="38" fontId="143" fillId="0" borderId="26" applyNumberFormat="0" applyFill="0" applyAlignment="0" applyProtection="0"/>
    <xf numFmtId="38" fontId="144" fillId="0" borderId="27" applyNumberFormat="0" applyFill="0" applyProtection="0">
      <alignment horizontal="center"/>
    </xf>
    <xf numFmtId="38" fontId="144" fillId="0" borderId="27" applyNumberFormat="0" applyFill="0" applyProtection="0">
      <alignment horizontal="center"/>
    </xf>
    <xf numFmtId="38" fontId="144" fillId="0" borderId="0" applyNumberFormat="0" applyFill="0" applyBorder="0" applyProtection="0">
      <alignment horizontal="left"/>
    </xf>
    <xf numFmtId="38" fontId="145" fillId="0" borderId="0" applyNumberFormat="0" applyFill="0" applyBorder="0" applyProtection="0">
      <alignment horizontal="centerContinuous"/>
    </xf>
    <xf numFmtId="175" fontId="45" fillId="0" borderId="0">
      <alignment horizontal="left" wrapText="1"/>
    </xf>
    <xf numFmtId="0" fontId="146" fillId="40" borderId="0" applyNumberFormat="0" applyBorder="0" applyAlignment="0" applyProtection="0"/>
    <xf numFmtId="0" fontId="70" fillId="65" borderId="0" applyNumberFormat="0" applyBorder="0" applyAlignment="0" applyProtection="0"/>
    <xf numFmtId="0" fontId="67" fillId="59" borderId="0" applyNumberFormat="0" applyBorder="0" applyAlignment="0" applyProtection="0"/>
    <xf numFmtId="0" fontId="147" fillId="40" borderId="0" applyNumberFormat="0" applyBorder="0" applyAlignment="0" applyProtection="0"/>
    <xf numFmtId="0" fontId="146" fillId="40" borderId="0" applyNumberFormat="0" applyBorder="0" applyAlignment="0" applyProtection="0"/>
    <xf numFmtId="0" fontId="67" fillId="59" borderId="0" applyNumberFormat="0" applyBorder="0" applyAlignment="0" applyProtection="0"/>
    <xf numFmtId="0" fontId="70" fillId="65" borderId="0" applyNumberFormat="0" applyBorder="0" applyAlignment="0" applyProtection="0"/>
    <xf numFmtId="0" fontId="70" fillId="65" borderId="0" applyNumberFormat="0" applyBorder="0" applyAlignment="0" applyProtection="0"/>
    <xf numFmtId="0" fontId="70" fillId="65" borderId="0" applyNumberFormat="0" applyBorder="0" applyAlignment="0" applyProtection="0"/>
    <xf numFmtId="0" fontId="67" fillId="40" borderId="0" applyNumberFormat="0" applyBorder="0" applyAlignment="0" applyProtection="0"/>
    <xf numFmtId="0" fontId="146" fillId="40" borderId="0" applyNumberFormat="0" applyBorder="0" applyAlignment="0" applyProtection="0"/>
    <xf numFmtId="0" fontId="146" fillId="40" borderId="0" applyNumberFormat="0" applyBorder="0" applyAlignment="0" applyProtection="0"/>
    <xf numFmtId="0" fontId="38" fillId="17" borderId="0" applyNumberFormat="0" applyBorder="0" applyAlignment="0" applyProtection="0"/>
    <xf numFmtId="0" fontId="147" fillId="40" borderId="0" applyNumberFormat="0" applyBorder="0" applyAlignment="0" applyProtection="0"/>
    <xf numFmtId="0" fontId="67" fillId="40" borderId="0" applyNumberFormat="0" applyBorder="0" applyAlignment="0" applyProtection="0"/>
    <xf numFmtId="0" fontId="147" fillId="40" borderId="0" applyNumberFormat="0" applyBorder="0" applyAlignment="0" applyProtection="0"/>
    <xf numFmtId="0" fontId="38" fillId="17" borderId="0" applyNumberFormat="0" applyBorder="0" applyAlignment="0" applyProtection="0"/>
    <xf numFmtId="0" fontId="146" fillId="41" borderId="0" applyNumberFormat="0" applyBorder="0" applyAlignment="0" applyProtection="0"/>
    <xf numFmtId="0" fontId="70" fillId="45" borderId="0" applyNumberFormat="0" applyBorder="0" applyAlignment="0" applyProtection="0"/>
    <xf numFmtId="0" fontId="67" fillId="45" borderId="0" applyNumberFormat="0" applyBorder="0" applyAlignment="0" applyProtection="0"/>
    <xf numFmtId="0" fontId="147" fillId="41" borderId="0" applyNumberFormat="0" applyBorder="0" applyAlignment="0" applyProtection="0"/>
    <xf numFmtId="0" fontId="146" fillId="41" borderId="0" applyNumberFormat="0" applyBorder="0" applyAlignment="0" applyProtection="0"/>
    <xf numFmtId="0" fontId="67" fillId="45" borderId="0" applyNumberFormat="0" applyBorder="0" applyAlignment="0" applyProtection="0"/>
    <xf numFmtId="0" fontId="70" fillId="45" borderId="0" applyNumberFormat="0" applyBorder="0" applyAlignment="0" applyProtection="0"/>
    <xf numFmtId="0" fontId="70" fillId="45" borderId="0" applyNumberFormat="0" applyBorder="0" applyAlignment="0" applyProtection="0"/>
    <xf numFmtId="0" fontId="70" fillId="45" borderId="0" applyNumberFormat="0" applyBorder="0" applyAlignment="0" applyProtection="0"/>
    <xf numFmtId="0" fontId="67" fillId="41" borderId="0" applyNumberFormat="0" applyBorder="0" applyAlignment="0" applyProtection="0"/>
    <xf numFmtId="0" fontId="146" fillId="41" borderId="0" applyNumberFormat="0" applyBorder="0" applyAlignment="0" applyProtection="0"/>
    <xf numFmtId="0" fontId="146" fillId="41" borderId="0" applyNumberFormat="0" applyBorder="0" applyAlignment="0" applyProtection="0"/>
    <xf numFmtId="0" fontId="38" fillId="21" borderId="0" applyNumberFormat="0" applyBorder="0" applyAlignment="0" applyProtection="0"/>
    <xf numFmtId="0" fontId="147" fillId="41" borderId="0" applyNumberFormat="0" applyBorder="0" applyAlignment="0" applyProtection="0"/>
    <xf numFmtId="0" fontId="67" fillId="41" borderId="0" applyNumberFormat="0" applyBorder="0" applyAlignment="0" applyProtection="0"/>
    <xf numFmtId="0" fontId="147" fillId="41" borderId="0" applyNumberFormat="0" applyBorder="0" applyAlignment="0" applyProtection="0"/>
    <xf numFmtId="0" fontId="38" fillId="21" borderId="0" applyNumberFormat="0" applyBorder="0" applyAlignment="0" applyProtection="0"/>
    <xf numFmtId="0" fontId="146" fillId="42" borderId="0" applyNumberFormat="0" applyBorder="0" applyAlignment="0" applyProtection="0"/>
    <xf numFmtId="0" fontId="70" fillId="61" borderId="0" applyNumberFormat="0" applyBorder="0" applyAlignment="0" applyProtection="0"/>
    <xf numFmtId="0" fontId="67" fillId="61" borderId="0" applyNumberFormat="0" applyBorder="0" applyAlignment="0" applyProtection="0"/>
    <xf numFmtId="0" fontId="147" fillId="42" borderId="0" applyNumberFormat="0" applyBorder="0" applyAlignment="0" applyProtection="0"/>
    <xf numFmtId="0" fontId="146" fillId="42" borderId="0" applyNumberFormat="0" applyBorder="0" applyAlignment="0" applyProtection="0"/>
    <xf numFmtId="0" fontId="67" fillId="61" borderId="0" applyNumberFormat="0" applyBorder="0" applyAlignment="0" applyProtection="0"/>
    <xf numFmtId="0" fontId="70" fillId="61" borderId="0" applyNumberFormat="0" applyBorder="0" applyAlignment="0" applyProtection="0"/>
    <xf numFmtId="0" fontId="70" fillId="61" borderId="0" applyNumberFormat="0" applyBorder="0" applyAlignment="0" applyProtection="0"/>
    <xf numFmtId="0" fontId="70" fillId="61" borderId="0" applyNumberFormat="0" applyBorder="0" applyAlignment="0" applyProtection="0"/>
    <xf numFmtId="0" fontId="67" fillId="42" borderId="0" applyNumberFormat="0" applyBorder="0" applyAlignment="0" applyProtection="0"/>
    <xf numFmtId="0" fontId="146" fillId="42" borderId="0" applyNumberFormat="0" applyBorder="0" applyAlignment="0" applyProtection="0"/>
    <xf numFmtId="0" fontId="146" fillId="42" borderId="0" applyNumberFormat="0" applyBorder="0" applyAlignment="0" applyProtection="0"/>
    <xf numFmtId="0" fontId="38" fillId="25" borderId="0" applyNumberFormat="0" applyBorder="0" applyAlignment="0" applyProtection="0"/>
    <xf numFmtId="0" fontId="147" fillId="42" borderId="0" applyNumberFormat="0" applyBorder="0" applyAlignment="0" applyProtection="0"/>
    <xf numFmtId="0" fontId="67" fillId="42" borderId="0" applyNumberFormat="0" applyBorder="0" applyAlignment="0" applyProtection="0"/>
    <xf numFmtId="0" fontId="147" fillId="42" borderId="0" applyNumberFormat="0" applyBorder="0" applyAlignment="0" applyProtection="0"/>
    <xf numFmtId="0" fontId="38" fillId="25" borderId="0" applyNumberFormat="0" applyBorder="0" applyAlignment="0" applyProtection="0"/>
    <xf numFmtId="0" fontId="146" fillId="43" borderId="0" applyNumberFormat="0" applyBorder="0" applyAlignment="0" applyProtection="0"/>
    <xf numFmtId="0" fontId="70" fillId="65" borderId="0" applyNumberFormat="0" applyBorder="0" applyAlignment="0" applyProtection="0"/>
    <xf numFmtId="0" fontId="67" fillId="59" borderId="0" applyNumberFormat="0" applyBorder="0" applyAlignment="0" applyProtection="0"/>
    <xf numFmtId="0" fontId="147" fillId="43" borderId="0" applyNumberFormat="0" applyBorder="0" applyAlignment="0" applyProtection="0"/>
    <xf numFmtId="0" fontId="146" fillId="43" borderId="0" applyNumberFormat="0" applyBorder="0" applyAlignment="0" applyProtection="0"/>
    <xf numFmtId="0" fontId="67" fillId="59" borderId="0" applyNumberFormat="0" applyBorder="0" applyAlignment="0" applyProtection="0"/>
    <xf numFmtId="0" fontId="70" fillId="65" borderId="0" applyNumberFormat="0" applyBorder="0" applyAlignment="0" applyProtection="0"/>
    <xf numFmtId="0" fontId="70" fillId="65" borderId="0" applyNumberFormat="0" applyBorder="0" applyAlignment="0" applyProtection="0"/>
    <xf numFmtId="0" fontId="70" fillId="65" borderId="0" applyNumberFormat="0" applyBorder="0" applyAlignment="0" applyProtection="0"/>
    <xf numFmtId="0" fontId="67" fillId="43" borderId="0" applyNumberFormat="0" applyBorder="0" applyAlignment="0" applyProtection="0"/>
    <xf numFmtId="0" fontId="146" fillId="43" borderId="0" applyNumberFormat="0" applyBorder="0" applyAlignment="0" applyProtection="0"/>
    <xf numFmtId="0" fontId="146" fillId="43" borderId="0" applyNumberFormat="0" applyBorder="0" applyAlignment="0" applyProtection="0"/>
    <xf numFmtId="0" fontId="38" fillId="29" borderId="0" applyNumberFormat="0" applyBorder="0" applyAlignment="0" applyProtection="0"/>
    <xf numFmtId="0" fontId="147" fillId="43" borderId="0" applyNumberFormat="0" applyBorder="0" applyAlignment="0" applyProtection="0"/>
    <xf numFmtId="0" fontId="67" fillId="43" borderId="0" applyNumberFormat="0" applyBorder="0" applyAlignment="0" applyProtection="0"/>
    <xf numFmtId="0" fontId="147" fillId="43" borderId="0" applyNumberFormat="0" applyBorder="0" applyAlignment="0" applyProtection="0"/>
    <xf numFmtId="0" fontId="38" fillId="29" borderId="0" applyNumberFormat="0" applyBorder="0" applyAlignment="0" applyProtection="0"/>
    <xf numFmtId="0" fontId="146" fillId="44" borderId="0" applyNumberFormat="0" applyBorder="0" applyAlignment="0" applyProtection="0"/>
    <xf numFmtId="0" fontId="70" fillId="66" borderId="0" applyNumberFormat="0" applyBorder="0" applyAlignment="0" applyProtection="0"/>
    <xf numFmtId="0" fontId="67" fillId="44" borderId="0" applyNumberFormat="0" applyBorder="0" applyAlignment="0" applyProtection="0"/>
    <xf numFmtId="0" fontId="147" fillId="44" borderId="0" applyNumberFormat="0" applyBorder="0" applyAlignment="0" applyProtection="0"/>
    <xf numFmtId="0" fontId="146" fillId="44" borderId="0" applyNumberFormat="0" applyBorder="0" applyAlignment="0" applyProtection="0"/>
    <xf numFmtId="0" fontId="67" fillId="44" borderId="0" applyNumberFormat="0" applyBorder="0" applyAlignment="0" applyProtection="0"/>
    <xf numFmtId="0" fontId="70" fillId="66" borderId="0" applyNumberFormat="0" applyBorder="0" applyAlignment="0" applyProtection="0"/>
    <xf numFmtId="0" fontId="70" fillId="66" borderId="0" applyNumberFormat="0" applyBorder="0" applyAlignment="0" applyProtection="0"/>
    <xf numFmtId="0" fontId="70" fillId="66" borderId="0" applyNumberFormat="0" applyBorder="0" applyAlignment="0" applyProtection="0"/>
    <xf numFmtId="0" fontId="146" fillId="44" borderId="0" applyNumberFormat="0" applyBorder="0" applyAlignment="0" applyProtection="0"/>
    <xf numFmtId="0" fontId="146" fillId="44" borderId="0" applyNumberFormat="0" applyBorder="0" applyAlignment="0" applyProtection="0"/>
    <xf numFmtId="0" fontId="38" fillId="33" borderId="0" applyNumberFormat="0" applyBorder="0" applyAlignment="0" applyProtection="0"/>
    <xf numFmtId="0" fontId="147" fillId="44" borderId="0" applyNumberFormat="0" applyBorder="0" applyAlignment="0" applyProtection="0"/>
    <xf numFmtId="0" fontId="67" fillId="44" borderId="0" applyNumberFormat="0" applyBorder="0" applyAlignment="0" applyProtection="0"/>
    <xf numFmtId="0" fontId="147" fillId="44" borderId="0" applyNumberFormat="0" applyBorder="0" applyAlignment="0" applyProtection="0"/>
    <xf numFmtId="0" fontId="38" fillId="33" borderId="0" applyNumberFormat="0" applyBorder="0" applyAlignment="0" applyProtection="0"/>
    <xf numFmtId="0" fontId="146" fillId="45" borderId="0" applyNumberFormat="0" applyBorder="0" applyAlignment="0" applyProtection="0"/>
    <xf numFmtId="0" fontId="70" fillId="45" borderId="0" applyNumberFormat="0" applyBorder="0" applyAlignment="0" applyProtection="0"/>
    <xf numFmtId="0" fontId="67" fillId="45" borderId="0" applyNumberFormat="0" applyBorder="0" applyAlignment="0" applyProtection="0"/>
    <xf numFmtId="0" fontId="147" fillId="45" borderId="0" applyNumberFormat="0" applyBorder="0" applyAlignment="0" applyProtection="0"/>
    <xf numFmtId="0" fontId="146" fillId="45" borderId="0" applyNumberFormat="0" applyBorder="0" applyAlignment="0" applyProtection="0"/>
    <xf numFmtId="0" fontId="67" fillId="45" borderId="0" applyNumberFormat="0" applyBorder="0" applyAlignment="0" applyProtection="0"/>
    <xf numFmtId="0" fontId="70" fillId="45" borderId="0" applyNumberFormat="0" applyBorder="0" applyAlignment="0" applyProtection="0"/>
    <xf numFmtId="0" fontId="70" fillId="45" borderId="0" applyNumberFormat="0" applyBorder="0" applyAlignment="0" applyProtection="0"/>
    <xf numFmtId="0" fontId="70" fillId="45" borderId="0" applyNumberFormat="0" applyBorder="0" applyAlignment="0" applyProtection="0"/>
    <xf numFmtId="0" fontId="146" fillId="45" borderId="0" applyNumberFormat="0" applyBorder="0" applyAlignment="0" applyProtection="0"/>
    <xf numFmtId="0" fontId="146" fillId="45" borderId="0" applyNumberFormat="0" applyBorder="0" applyAlignment="0" applyProtection="0"/>
    <xf numFmtId="0" fontId="38" fillId="37" borderId="0" applyNumberFormat="0" applyBorder="0" applyAlignment="0" applyProtection="0"/>
    <xf numFmtId="0" fontId="147" fillId="45" borderId="0" applyNumberFormat="0" applyBorder="0" applyAlignment="0" applyProtection="0"/>
    <xf numFmtId="0" fontId="67" fillId="45" borderId="0" applyNumberFormat="0" applyBorder="0" applyAlignment="0" applyProtection="0"/>
    <xf numFmtId="0" fontId="147" fillId="45" borderId="0" applyNumberFormat="0" applyBorder="0" applyAlignment="0" applyProtection="0"/>
    <xf numFmtId="0" fontId="38" fillId="37" borderId="0" applyNumberFormat="0" applyBorder="0" applyAlignment="0" applyProtection="0"/>
    <xf numFmtId="0" fontId="146" fillId="46" borderId="0" applyNumberFormat="0" applyBorder="0" applyAlignment="0" applyProtection="0"/>
    <xf numFmtId="0" fontId="70" fillId="67" borderId="0" applyNumberFormat="0" applyBorder="0" applyAlignment="0" applyProtection="0"/>
    <xf numFmtId="0" fontId="67" fillId="58" borderId="0" applyNumberFormat="0" applyBorder="0" applyAlignment="0" applyProtection="0"/>
    <xf numFmtId="0" fontId="147" fillId="46" borderId="0" applyNumberFormat="0" applyBorder="0" applyAlignment="0" applyProtection="0"/>
    <xf numFmtId="0" fontId="146" fillId="46" borderId="0" applyNumberFormat="0" applyBorder="0" applyAlignment="0" applyProtection="0"/>
    <xf numFmtId="0" fontId="67" fillId="58" borderId="0" applyNumberFormat="0" applyBorder="0" applyAlignment="0" applyProtection="0"/>
    <xf numFmtId="0" fontId="70" fillId="67" borderId="0" applyNumberFormat="0" applyBorder="0" applyAlignment="0" applyProtection="0"/>
    <xf numFmtId="0" fontId="70" fillId="67" borderId="0" applyNumberFormat="0" applyBorder="0" applyAlignment="0" applyProtection="0"/>
    <xf numFmtId="0" fontId="70" fillId="67" borderId="0" applyNumberFormat="0" applyBorder="0" applyAlignment="0" applyProtection="0"/>
    <xf numFmtId="0" fontId="67" fillId="46" borderId="0" applyNumberFormat="0" applyBorder="0" applyAlignment="0" applyProtection="0"/>
    <xf numFmtId="0" fontId="146" fillId="46" borderId="0" applyNumberFormat="0" applyBorder="0" applyAlignment="0" applyProtection="0"/>
    <xf numFmtId="0" fontId="146" fillId="46" borderId="0" applyNumberFormat="0" applyBorder="0" applyAlignment="0" applyProtection="0"/>
    <xf numFmtId="0" fontId="38" fillId="18" borderId="0" applyNumberFormat="0" applyBorder="0" applyAlignment="0" applyProtection="0"/>
    <xf numFmtId="0" fontId="147" fillId="46" borderId="0" applyNumberFormat="0" applyBorder="0" applyAlignment="0" applyProtection="0"/>
    <xf numFmtId="0" fontId="67" fillId="46" borderId="0" applyNumberFormat="0" applyBorder="0" applyAlignment="0" applyProtection="0"/>
    <xf numFmtId="0" fontId="147" fillId="46" borderId="0" applyNumberFormat="0" applyBorder="0" applyAlignment="0" applyProtection="0"/>
    <xf numFmtId="0" fontId="38" fillId="18" borderId="0" applyNumberFormat="0" applyBorder="0" applyAlignment="0" applyProtection="0"/>
    <xf numFmtId="0" fontId="146" fillId="47" borderId="0" applyNumberFormat="0" applyBorder="0" applyAlignment="0" applyProtection="0"/>
    <xf numFmtId="0" fontId="70" fillId="47" borderId="0" applyNumberFormat="0" applyBorder="0" applyAlignment="0" applyProtection="0"/>
    <xf numFmtId="0" fontId="67" fillId="47" borderId="0" applyNumberFormat="0" applyBorder="0" applyAlignment="0" applyProtection="0"/>
    <xf numFmtId="0" fontId="147" fillId="47" borderId="0" applyNumberFormat="0" applyBorder="0" applyAlignment="0" applyProtection="0"/>
    <xf numFmtId="0" fontId="146" fillId="47" borderId="0" applyNumberFormat="0" applyBorder="0" applyAlignment="0" applyProtection="0"/>
    <xf numFmtId="0" fontId="67" fillId="47" borderId="0" applyNumberFormat="0" applyBorder="0" applyAlignment="0" applyProtection="0"/>
    <xf numFmtId="0" fontId="70" fillId="47" borderId="0" applyNumberFormat="0" applyBorder="0" applyAlignment="0" applyProtection="0"/>
    <xf numFmtId="0" fontId="70" fillId="47" borderId="0" applyNumberFormat="0" applyBorder="0" applyAlignment="0" applyProtection="0"/>
    <xf numFmtId="0" fontId="70" fillId="47" borderId="0" applyNumberFormat="0" applyBorder="0" applyAlignment="0" applyProtection="0"/>
    <xf numFmtId="0" fontId="146" fillId="47" borderId="0" applyNumberFormat="0" applyBorder="0" applyAlignment="0" applyProtection="0"/>
    <xf numFmtId="0" fontId="146" fillId="47" borderId="0" applyNumberFormat="0" applyBorder="0" applyAlignment="0" applyProtection="0"/>
    <xf numFmtId="0" fontId="38" fillId="22" borderId="0" applyNumberFormat="0" applyBorder="0" applyAlignment="0" applyProtection="0"/>
    <xf numFmtId="0" fontId="147" fillId="47" borderId="0" applyNumberFormat="0" applyBorder="0" applyAlignment="0" applyProtection="0"/>
    <xf numFmtId="0" fontId="67" fillId="47" borderId="0" applyNumberFormat="0" applyBorder="0" applyAlignment="0" applyProtection="0"/>
    <xf numFmtId="0" fontId="147" fillId="47" borderId="0" applyNumberFormat="0" applyBorder="0" applyAlignment="0" applyProtection="0"/>
    <xf numFmtId="0" fontId="38" fillId="22" borderId="0" applyNumberFormat="0" applyBorder="0" applyAlignment="0" applyProtection="0"/>
    <xf numFmtId="0" fontId="146" fillId="48" borderId="0" applyNumberFormat="0" applyBorder="0" applyAlignment="0" applyProtection="0"/>
    <xf numFmtId="0" fontId="70" fillId="60" borderId="0" applyNumberFormat="0" applyBorder="0" applyAlignment="0" applyProtection="0"/>
    <xf numFmtId="0" fontId="67" fillId="60" borderId="0" applyNumberFormat="0" applyBorder="0" applyAlignment="0" applyProtection="0"/>
    <xf numFmtId="0" fontId="147" fillId="48" borderId="0" applyNumberFormat="0" applyBorder="0" applyAlignment="0" applyProtection="0"/>
    <xf numFmtId="0" fontId="146" fillId="48" borderId="0" applyNumberFormat="0" applyBorder="0" applyAlignment="0" applyProtection="0"/>
    <xf numFmtId="0" fontId="67" fillId="60" borderId="0" applyNumberFormat="0" applyBorder="0" applyAlignment="0" applyProtection="0"/>
    <xf numFmtId="0" fontId="70" fillId="60" borderId="0" applyNumberFormat="0" applyBorder="0" applyAlignment="0" applyProtection="0"/>
    <xf numFmtId="0" fontId="70" fillId="60" borderId="0" applyNumberFormat="0" applyBorder="0" applyAlignment="0" applyProtection="0"/>
    <xf numFmtId="0" fontId="70" fillId="60" borderId="0" applyNumberFormat="0" applyBorder="0" applyAlignment="0" applyProtection="0"/>
    <xf numFmtId="0" fontId="67" fillId="48" borderId="0" applyNumberFormat="0" applyBorder="0" applyAlignment="0" applyProtection="0"/>
    <xf numFmtId="0" fontId="146" fillId="48" borderId="0" applyNumberFormat="0" applyBorder="0" applyAlignment="0" applyProtection="0"/>
    <xf numFmtId="0" fontId="146" fillId="48" borderId="0" applyNumberFormat="0" applyBorder="0" applyAlignment="0" applyProtection="0"/>
    <xf numFmtId="0" fontId="38" fillId="26" borderId="0" applyNumberFormat="0" applyBorder="0" applyAlignment="0" applyProtection="0"/>
    <xf numFmtId="0" fontId="147" fillId="48" borderId="0" applyNumberFormat="0" applyBorder="0" applyAlignment="0" applyProtection="0"/>
    <xf numFmtId="0" fontId="67" fillId="48" borderId="0" applyNumberFormat="0" applyBorder="0" applyAlignment="0" applyProtection="0"/>
    <xf numFmtId="0" fontId="147" fillId="48" borderId="0" applyNumberFormat="0" applyBorder="0" applyAlignment="0" applyProtection="0"/>
    <xf numFmtId="0" fontId="38" fillId="26" borderId="0" applyNumberFormat="0" applyBorder="0" applyAlignment="0" applyProtection="0"/>
    <xf numFmtId="0" fontId="146" fillId="43" borderId="0" applyNumberFormat="0" applyBorder="0" applyAlignment="0" applyProtection="0"/>
    <xf numFmtId="0" fontId="70" fillId="58" borderId="0" applyNumberFormat="0" applyBorder="0" applyAlignment="0" applyProtection="0"/>
    <xf numFmtId="0" fontId="67" fillId="58" borderId="0" applyNumberFormat="0" applyBorder="0" applyAlignment="0" applyProtection="0"/>
    <xf numFmtId="0" fontId="147" fillId="43" borderId="0" applyNumberFormat="0" applyBorder="0" applyAlignment="0" applyProtection="0"/>
    <xf numFmtId="0" fontId="146" fillId="43" borderId="0" applyNumberFormat="0" applyBorder="0" applyAlignment="0" applyProtection="0"/>
    <xf numFmtId="0" fontId="67" fillId="58" borderId="0" applyNumberFormat="0" applyBorder="0" applyAlignment="0" applyProtection="0"/>
    <xf numFmtId="0" fontId="70" fillId="58" borderId="0" applyNumberFormat="0" applyBorder="0" applyAlignment="0" applyProtection="0"/>
    <xf numFmtId="0" fontId="70" fillId="58" borderId="0" applyNumberFormat="0" applyBorder="0" applyAlignment="0" applyProtection="0"/>
    <xf numFmtId="0" fontId="70" fillId="58" borderId="0" applyNumberFormat="0" applyBorder="0" applyAlignment="0" applyProtection="0"/>
    <xf numFmtId="0" fontId="67" fillId="43" borderId="0" applyNumberFormat="0" applyBorder="0" applyAlignment="0" applyProtection="0"/>
    <xf numFmtId="0" fontId="146" fillId="43" borderId="0" applyNumberFormat="0" applyBorder="0" applyAlignment="0" applyProtection="0"/>
    <xf numFmtId="0" fontId="146" fillId="43" borderId="0" applyNumberFormat="0" applyBorder="0" applyAlignment="0" applyProtection="0"/>
    <xf numFmtId="0" fontId="38" fillId="30" borderId="0" applyNumberFormat="0" applyBorder="0" applyAlignment="0" applyProtection="0"/>
    <xf numFmtId="0" fontId="147" fillId="43" borderId="0" applyNumberFormat="0" applyBorder="0" applyAlignment="0" applyProtection="0"/>
    <xf numFmtId="0" fontId="67" fillId="43" borderId="0" applyNumberFormat="0" applyBorder="0" applyAlignment="0" applyProtection="0"/>
    <xf numFmtId="0" fontId="147" fillId="43" borderId="0" applyNumberFormat="0" applyBorder="0" applyAlignment="0" applyProtection="0"/>
    <xf numFmtId="0" fontId="38" fillId="30" borderId="0" applyNumberFormat="0" applyBorder="0" applyAlignment="0" applyProtection="0"/>
    <xf numFmtId="0" fontId="146" fillId="46" borderId="0" applyNumberFormat="0" applyBorder="0" applyAlignment="0" applyProtection="0"/>
    <xf numFmtId="0" fontId="70" fillId="66" borderId="0" applyNumberFormat="0" applyBorder="0" applyAlignment="0" applyProtection="0"/>
    <xf numFmtId="0" fontId="67" fillId="46" borderId="0" applyNumberFormat="0" applyBorder="0" applyAlignment="0" applyProtection="0"/>
    <xf numFmtId="0" fontId="147" fillId="46" borderId="0" applyNumberFormat="0" applyBorder="0" applyAlignment="0" applyProtection="0"/>
    <xf numFmtId="0" fontId="146" fillId="46" borderId="0" applyNumberFormat="0" applyBorder="0" applyAlignment="0" applyProtection="0"/>
    <xf numFmtId="0" fontId="67" fillId="46" borderId="0" applyNumberFormat="0" applyBorder="0" applyAlignment="0" applyProtection="0"/>
    <xf numFmtId="0" fontId="70" fillId="66" borderId="0" applyNumberFormat="0" applyBorder="0" applyAlignment="0" applyProtection="0"/>
    <xf numFmtId="0" fontId="70" fillId="66" borderId="0" applyNumberFormat="0" applyBorder="0" applyAlignment="0" applyProtection="0"/>
    <xf numFmtId="0" fontId="70" fillId="66" borderId="0" applyNumberFormat="0" applyBorder="0" applyAlignment="0" applyProtection="0"/>
    <xf numFmtId="0" fontId="146" fillId="46" borderId="0" applyNumberFormat="0" applyBorder="0" applyAlignment="0" applyProtection="0"/>
    <xf numFmtId="0" fontId="146" fillId="46" borderId="0" applyNumberFormat="0" applyBorder="0" applyAlignment="0" applyProtection="0"/>
    <xf numFmtId="0" fontId="38" fillId="34" borderId="0" applyNumberFormat="0" applyBorder="0" applyAlignment="0" applyProtection="0"/>
    <xf numFmtId="0" fontId="147" fillId="46" borderId="0" applyNumberFormat="0" applyBorder="0" applyAlignment="0" applyProtection="0"/>
    <xf numFmtId="0" fontId="67" fillId="46" borderId="0" applyNumberFormat="0" applyBorder="0" applyAlignment="0" applyProtection="0"/>
    <xf numFmtId="0" fontId="147" fillId="46" borderId="0" applyNumberFormat="0" applyBorder="0" applyAlignment="0" applyProtection="0"/>
    <xf numFmtId="0" fontId="38" fillId="34" borderId="0" applyNumberFormat="0" applyBorder="0" applyAlignment="0" applyProtection="0"/>
    <xf numFmtId="0" fontId="146" fillId="49" borderId="0" applyNumberFormat="0" applyBorder="0" applyAlignment="0" applyProtection="0"/>
    <xf numFmtId="0" fontId="70" fillId="45" borderId="0" applyNumberFormat="0" applyBorder="0" applyAlignment="0" applyProtection="0"/>
    <xf numFmtId="0" fontId="67" fillId="45" borderId="0" applyNumberFormat="0" applyBorder="0" applyAlignment="0" applyProtection="0"/>
    <xf numFmtId="0" fontId="147" fillId="49" borderId="0" applyNumberFormat="0" applyBorder="0" applyAlignment="0" applyProtection="0"/>
    <xf numFmtId="0" fontId="146" fillId="49" borderId="0" applyNumberFormat="0" applyBorder="0" applyAlignment="0" applyProtection="0"/>
    <xf numFmtId="0" fontId="67" fillId="45" borderId="0" applyNumberFormat="0" applyBorder="0" applyAlignment="0" applyProtection="0"/>
    <xf numFmtId="0" fontId="70" fillId="45" borderId="0" applyNumberFormat="0" applyBorder="0" applyAlignment="0" applyProtection="0"/>
    <xf numFmtId="0" fontId="70" fillId="45" borderId="0" applyNumberFormat="0" applyBorder="0" applyAlignment="0" applyProtection="0"/>
    <xf numFmtId="0" fontId="70" fillId="45" borderId="0" applyNumberFormat="0" applyBorder="0" applyAlignment="0" applyProtection="0"/>
    <xf numFmtId="0" fontId="67" fillId="49" borderId="0" applyNumberFormat="0" applyBorder="0" applyAlignment="0" applyProtection="0"/>
    <xf numFmtId="0" fontId="146" fillId="49" borderId="0" applyNumberFormat="0" applyBorder="0" applyAlignment="0" applyProtection="0"/>
    <xf numFmtId="0" fontId="146" fillId="49" borderId="0" applyNumberFormat="0" applyBorder="0" applyAlignment="0" applyProtection="0"/>
    <xf numFmtId="0" fontId="38" fillId="38" borderId="0" applyNumberFormat="0" applyBorder="0" applyAlignment="0" applyProtection="0"/>
    <xf numFmtId="0" fontId="147" fillId="49" borderId="0" applyNumberFormat="0" applyBorder="0" applyAlignment="0" applyProtection="0"/>
    <xf numFmtId="0" fontId="67" fillId="49" borderId="0" applyNumberFormat="0" applyBorder="0" applyAlignment="0" applyProtection="0"/>
    <xf numFmtId="0" fontId="147" fillId="49" borderId="0" applyNumberFormat="0" applyBorder="0" applyAlignment="0" applyProtection="0"/>
    <xf numFmtId="0" fontId="38" fillId="38" borderId="0" applyNumberFormat="0" applyBorder="0" applyAlignment="0" applyProtection="0"/>
    <xf numFmtId="0" fontId="148" fillId="50" borderId="0" applyNumberFormat="0" applyBorder="0" applyAlignment="0" applyProtection="0"/>
    <xf numFmtId="0" fontId="149" fillId="52" borderId="0" applyNumberFormat="0" applyBorder="0" applyAlignment="0" applyProtection="0"/>
    <xf numFmtId="0" fontId="70" fillId="52" borderId="0" applyNumberFormat="0" applyBorder="0" applyAlignment="0" applyProtection="0"/>
    <xf numFmtId="0" fontId="150" fillId="50" borderId="0" applyNumberFormat="0" applyBorder="0" applyAlignment="0" applyProtection="0"/>
    <xf numFmtId="0" fontId="148" fillId="50" borderId="0" applyNumberFormat="0" applyBorder="0" applyAlignment="0" applyProtection="0"/>
    <xf numFmtId="0" fontId="70" fillId="52" borderId="0" applyNumberFormat="0" applyBorder="0" applyAlignment="0" applyProtection="0"/>
    <xf numFmtId="0" fontId="149" fillId="52" borderId="0" applyNumberFormat="0" applyBorder="0" applyAlignment="0" applyProtection="0"/>
    <xf numFmtId="0" fontId="149" fillId="52" borderId="0" applyNumberFormat="0" applyBorder="0" applyAlignment="0" applyProtection="0"/>
    <xf numFmtId="0" fontId="70" fillId="50" borderId="0" applyNumberFormat="0" applyBorder="0" applyAlignment="0" applyProtection="0"/>
    <xf numFmtId="0" fontId="148" fillId="50" borderId="0" applyNumberFormat="0" applyBorder="0" applyAlignment="0" applyProtection="0"/>
    <xf numFmtId="0" fontId="148" fillId="50" borderId="0" applyNumberFormat="0" applyBorder="0" applyAlignment="0" applyProtection="0"/>
    <xf numFmtId="0" fontId="73" fillId="19" borderId="0" applyNumberFormat="0" applyBorder="0" applyAlignment="0" applyProtection="0"/>
    <xf numFmtId="0" fontId="150" fillId="50" borderId="0" applyNumberFormat="0" applyBorder="0" applyAlignment="0" applyProtection="0"/>
    <xf numFmtId="0" fontId="70" fillId="50" borderId="0" applyNumberFormat="0" applyBorder="0" applyAlignment="0" applyProtection="0"/>
    <xf numFmtId="0" fontId="150" fillId="50" borderId="0" applyNumberFormat="0" applyBorder="0" applyAlignment="0" applyProtection="0"/>
    <xf numFmtId="0" fontId="73" fillId="19" borderId="0" applyNumberFormat="0" applyBorder="0" applyAlignment="0" applyProtection="0"/>
    <xf numFmtId="0" fontId="148" fillId="47" borderId="0" applyNumberFormat="0" applyBorder="0" applyAlignment="0" applyProtection="0"/>
    <xf numFmtId="0" fontId="149" fillId="47" borderId="0" applyNumberFormat="0" applyBorder="0" applyAlignment="0" applyProtection="0"/>
    <xf numFmtId="0" fontId="70" fillId="47" borderId="0" applyNumberFormat="0" applyBorder="0" applyAlignment="0" applyProtection="0"/>
    <xf numFmtId="0" fontId="150" fillId="47" borderId="0" applyNumberFormat="0" applyBorder="0" applyAlignment="0" applyProtection="0"/>
    <xf numFmtId="0" fontId="148" fillId="47" borderId="0" applyNumberFormat="0" applyBorder="0" applyAlignment="0" applyProtection="0"/>
    <xf numFmtId="0" fontId="70" fillId="47" borderId="0" applyNumberFormat="0" applyBorder="0" applyAlignment="0" applyProtection="0"/>
    <xf numFmtId="0" fontId="149" fillId="47" borderId="0" applyNumberFormat="0" applyBorder="0" applyAlignment="0" applyProtection="0"/>
    <xf numFmtId="0" fontId="149" fillId="47" borderId="0" applyNumberFormat="0" applyBorder="0" applyAlignment="0" applyProtection="0"/>
    <xf numFmtId="0" fontId="148" fillId="47" borderId="0" applyNumberFormat="0" applyBorder="0" applyAlignment="0" applyProtection="0"/>
    <xf numFmtId="0" fontId="148" fillId="47" borderId="0" applyNumberFormat="0" applyBorder="0" applyAlignment="0" applyProtection="0"/>
    <xf numFmtId="0" fontId="73" fillId="23" borderId="0" applyNumberFormat="0" applyBorder="0" applyAlignment="0" applyProtection="0"/>
    <xf numFmtId="0" fontId="150" fillId="47" borderId="0" applyNumberFormat="0" applyBorder="0" applyAlignment="0" applyProtection="0"/>
    <xf numFmtId="0" fontId="70" fillId="47" borderId="0" applyNumberFormat="0" applyBorder="0" applyAlignment="0" applyProtection="0"/>
    <xf numFmtId="0" fontId="150" fillId="47" borderId="0" applyNumberFormat="0" applyBorder="0" applyAlignment="0" applyProtection="0"/>
    <xf numFmtId="0" fontId="73" fillId="23" borderId="0" applyNumberFormat="0" applyBorder="0" applyAlignment="0" applyProtection="0"/>
    <xf numFmtId="0" fontId="148" fillId="48" borderId="0" applyNumberFormat="0" applyBorder="0" applyAlignment="0" applyProtection="0"/>
    <xf numFmtId="0" fontId="149" fillId="60" borderId="0" applyNumberFormat="0" applyBorder="0" applyAlignment="0" applyProtection="0"/>
    <xf numFmtId="0" fontId="70" fillId="60" borderId="0" applyNumberFormat="0" applyBorder="0" applyAlignment="0" applyProtection="0"/>
    <xf numFmtId="0" fontId="150" fillId="48" borderId="0" applyNumberFormat="0" applyBorder="0" applyAlignment="0" applyProtection="0"/>
    <xf numFmtId="0" fontId="148" fillId="48" borderId="0" applyNumberFormat="0" applyBorder="0" applyAlignment="0" applyProtection="0"/>
    <xf numFmtId="0" fontId="70" fillId="60" borderId="0" applyNumberFormat="0" applyBorder="0" applyAlignment="0" applyProtection="0"/>
    <xf numFmtId="0" fontId="149" fillId="60" borderId="0" applyNumberFormat="0" applyBorder="0" applyAlignment="0" applyProtection="0"/>
    <xf numFmtId="0" fontId="149" fillId="60" borderId="0" applyNumberFormat="0" applyBorder="0" applyAlignment="0" applyProtection="0"/>
    <xf numFmtId="0" fontId="70" fillId="48" borderId="0" applyNumberFormat="0" applyBorder="0" applyAlignment="0" applyProtection="0"/>
    <xf numFmtId="0" fontId="148" fillId="48" borderId="0" applyNumberFormat="0" applyBorder="0" applyAlignment="0" applyProtection="0"/>
    <xf numFmtId="0" fontId="148" fillId="48" borderId="0" applyNumberFormat="0" applyBorder="0" applyAlignment="0" applyProtection="0"/>
    <xf numFmtId="0" fontId="73" fillId="27" borderId="0" applyNumberFormat="0" applyBorder="0" applyAlignment="0" applyProtection="0"/>
    <xf numFmtId="0" fontId="150" fillId="48" borderId="0" applyNumberFormat="0" applyBorder="0" applyAlignment="0" applyProtection="0"/>
    <xf numFmtId="0" fontId="70" fillId="48" borderId="0" applyNumberFormat="0" applyBorder="0" applyAlignment="0" applyProtection="0"/>
    <xf numFmtId="0" fontId="150" fillId="48" borderId="0" applyNumberFormat="0" applyBorder="0" applyAlignment="0" applyProtection="0"/>
    <xf numFmtId="0" fontId="73" fillId="27" borderId="0" applyNumberFormat="0" applyBorder="0" applyAlignment="0" applyProtection="0"/>
    <xf numFmtId="0" fontId="148" fillId="51" borderId="0" applyNumberFormat="0" applyBorder="0" applyAlignment="0" applyProtection="0"/>
    <xf numFmtId="0" fontId="149" fillId="58" borderId="0" applyNumberFormat="0" applyBorder="0" applyAlignment="0" applyProtection="0"/>
    <xf numFmtId="0" fontId="70" fillId="58" borderId="0" applyNumberFormat="0" applyBorder="0" applyAlignment="0" applyProtection="0"/>
    <xf numFmtId="0" fontId="150" fillId="51" borderId="0" applyNumberFormat="0" applyBorder="0" applyAlignment="0" applyProtection="0"/>
    <xf numFmtId="0" fontId="148" fillId="51" borderId="0" applyNumberFormat="0" applyBorder="0" applyAlignment="0" applyProtection="0"/>
    <xf numFmtId="0" fontId="70" fillId="58" borderId="0" applyNumberFormat="0" applyBorder="0" applyAlignment="0" applyProtection="0"/>
    <xf numFmtId="0" fontId="149" fillId="58" borderId="0" applyNumberFormat="0" applyBorder="0" applyAlignment="0" applyProtection="0"/>
    <xf numFmtId="0" fontId="149" fillId="58" borderId="0" applyNumberFormat="0" applyBorder="0" applyAlignment="0" applyProtection="0"/>
    <xf numFmtId="0" fontId="70" fillId="51" borderId="0" applyNumberFormat="0" applyBorder="0" applyAlignment="0" applyProtection="0"/>
    <xf numFmtId="0" fontId="148" fillId="51" borderId="0" applyNumberFormat="0" applyBorder="0" applyAlignment="0" applyProtection="0"/>
    <xf numFmtId="0" fontId="148" fillId="51" borderId="0" applyNumberFormat="0" applyBorder="0" applyAlignment="0" applyProtection="0"/>
    <xf numFmtId="0" fontId="73" fillId="31" borderId="0" applyNumberFormat="0" applyBorder="0" applyAlignment="0" applyProtection="0"/>
    <xf numFmtId="0" fontId="150" fillId="51" borderId="0" applyNumberFormat="0" applyBorder="0" applyAlignment="0" applyProtection="0"/>
    <xf numFmtId="0" fontId="70" fillId="51" borderId="0" applyNumberFormat="0" applyBorder="0" applyAlignment="0" applyProtection="0"/>
    <xf numFmtId="0" fontId="150" fillId="51" borderId="0" applyNumberFormat="0" applyBorder="0" applyAlignment="0" applyProtection="0"/>
    <xf numFmtId="0" fontId="73" fillId="31" borderId="0" applyNumberFormat="0" applyBorder="0" applyAlignment="0" applyProtection="0"/>
    <xf numFmtId="0" fontId="148" fillId="52" borderId="0" applyNumberFormat="0" applyBorder="0" applyAlignment="0" applyProtection="0"/>
    <xf numFmtId="0" fontId="149" fillId="52" borderId="0" applyNumberFormat="0" applyBorder="0" applyAlignment="0" applyProtection="0"/>
    <xf numFmtId="0" fontId="70" fillId="52" borderId="0" applyNumberFormat="0" applyBorder="0" applyAlignment="0" applyProtection="0"/>
    <xf numFmtId="0" fontId="150" fillId="52" borderId="0" applyNumberFormat="0" applyBorder="0" applyAlignment="0" applyProtection="0"/>
    <xf numFmtId="0" fontId="148" fillId="52" borderId="0" applyNumberFormat="0" applyBorder="0" applyAlignment="0" applyProtection="0"/>
    <xf numFmtId="0" fontId="70" fillId="52" borderId="0" applyNumberFormat="0" applyBorder="0" applyAlignment="0" applyProtection="0"/>
    <xf numFmtId="0" fontId="149" fillId="52" borderId="0" applyNumberFormat="0" applyBorder="0" applyAlignment="0" applyProtection="0"/>
    <xf numFmtId="0" fontId="149" fillId="52" borderId="0" applyNumberFormat="0" applyBorder="0" applyAlignment="0" applyProtection="0"/>
    <xf numFmtId="0" fontId="148" fillId="52" borderId="0" applyNumberFormat="0" applyBorder="0" applyAlignment="0" applyProtection="0"/>
    <xf numFmtId="0" fontId="148" fillId="52" borderId="0" applyNumberFormat="0" applyBorder="0" applyAlignment="0" applyProtection="0"/>
    <xf numFmtId="0" fontId="73" fillId="35" borderId="0" applyNumberFormat="0" applyBorder="0" applyAlignment="0" applyProtection="0"/>
    <xf numFmtId="0" fontId="150" fillId="52" borderId="0" applyNumberFormat="0" applyBorder="0" applyAlignment="0" applyProtection="0"/>
    <xf numFmtId="0" fontId="70" fillId="52" borderId="0" applyNumberFormat="0" applyBorder="0" applyAlignment="0" applyProtection="0"/>
    <xf numFmtId="0" fontId="150" fillId="52" borderId="0" applyNumberFormat="0" applyBorder="0" applyAlignment="0" applyProtection="0"/>
    <xf numFmtId="0" fontId="73" fillId="35" borderId="0" applyNumberFormat="0" applyBorder="0" applyAlignment="0" applyProtection="0"/>
    <xf numFmtId="0" fontId="148" fillId="53" borderId="0" applyNumberFormat="0" applyBorder="0" applyAlignment="0" applyProtection="0"/>
    <xf numFmtId="0" fontId="149" fillId="68" borderId="0" applyNumberFormat="0" applyBorder="0" applyAlignment="0" applyProtection="0"/>
    <xf numFmtId="0" fontId="70" fillId="45" borderId="0" applyNumberFormat="0" applyBorder="0" applyAlignment="0" applyProtection="0"/>
    <xf numFmtId="0" fontId="150" fillId="53" borderId="0" applyNumberFormat="0" applyBorder="0" applyAlignment="0" applyProtection="0"/>
    <xf numFmtId="0" fontId="148" fillId="53" borderId="0" applyNumberFormat="0" applyBorder="0" applyAlignment="0" applyProtection="0"/>
    <xf numFmtId="0" fontId="70" fillId="45" borderId="0" applyNumberFormat="0" applyBorder="0" applyAlignment="0" applyProtection="0"/>
    <xf numFmtId="0" fontId="149" fillId="68" borderId="0" applyNumberFormat="0" applyBorder="0" applyAlignment="0" applyProtection="0"/>
    <xf numFmtId="0" fontId="149" fillId="68" borderId="0" applyNumberFormat="0" applyBorder="0" applyAlignment="0" applyProtection="0"/>
    <xf numFmtId="0" fontId="70" fillId="53" borderId="0" applyNumberFormat="0" applyBorder="0" applyAlignment="0" applyProtection="0"/>
    <xf numFmtId="0" fontId="148" fillId="53" borderId="0" applyNumberFormat="0" applyBorder="0" applyAlignment="0" applyProtection="0"/>
    <xf numFmtId="0" fontId="148" fillId="53" borderId="0" applyNumberFormat="0" applyBorder="0" applyAlignment="0" applyProtection="0"/>
    <xf numFmtId="0" fontId="73" fillId="39" borderId="0" applyNumberFormat="0" applyBorder="0" applyAlignment="0" applyProtection="0"/>
    <xf numFmtId="0" fontId="150" fillId="53" borderId="0" applyNumberFormat="0" applyBorder="0" applyAlignment="0" applyProtection="0"/>
    <xf numFmtId="0" fontId="70" fillId="53" borderId="0" applyNumberFormat="0" applyBorder="0" applyAlignment="0" applyProtection="0"/>
    <xf numFmtId="0" fontId="150" fillId="53" borderId="0" applyNumberFormat="0" applyBorder="0" applyAlignment="0" applyProtection="0"/>
    <xf numFmtId="0" fontId="73" fillId="39" borderId="0" applyNumberFormat="0" applyBorder="0" applyAlignment="0" applyProtection="0"/>
    <xf numFmtId="0" fontId="148" fillId="54" borderId="0" applyNumberFormat="0" applyBorder="0" applyAlignment="0" applyProtection="0"/>
    <xf numFmtId="0" fontId="149" fillId="52" borderId="0" applyNumberFormat="0" applyBorder="0" applyAlignment="0" applyProtection="0"/>
    <xf numFmtId="0" fontId="70" fillId="52" borderId="0" applyNumberFormat="0" applyBorder="0" applyAlignment="0" applyProtection="0"/>
    <xf numFmtId="0" fontId="150" fillId="54" borderId="0" applyNumberFormat="0" applyBorder="0" applyAlignment="0" applyProtection="0"/>
    <xf numFmtId="0" fontId="148" fillId="54" borderId="0" applyNumberFormat="0" applyBorder="0" applyAlignment="0" applyProtection="0"/>
    <xf numFmtId="0" fontId="70" fillId="52" borderId="0" applyNumberFormat="0" applyBorder="0" applyAlignment="0" applyProtection="0"/>
    <xf numFmtId="0" fontId="149" fillId="52" borderId="0" applyNumberFormat="0" applyBorder="0" applyAlignment="0" applyProtection="0"/>
    <xf numFmtId="0" fontId="70" fillId="54" borderId="0" applyNumberFormat="0" applyBorder="0" applyAlignment="0" applyProtection="0"/>
    <xf numFmtId="0" fontId="148" fillId="54" borderId="0" applyNumberFormat="0" applyBorder="0" applyAlignment="0" applyProtection="0"/>
    <xf numFmtId="0" fontId="148" fillId="54" borderId="0" applyNumberFormat="0" applyBorder="0" applyAlignment="0" applyProtection="0"/>
    <xf numFmtId="0" fontId="73" fillId="16" borderId="0" applyNumberFormat="0" applyBorder="0" applyAlignment="0" applyProtection="0"/>
    <xf numFmtId="0" fontId="150" fillId="54" borderId="0" applyNumberFormat="0" applyBorder="0" applyAlignment="0" applyProtection="0"/>
    <xf numFmtId="0" fontId="70" fillId="54" borderId="0" applyNumberFormat="0" applyBorder="0" applyAlignment="0" applyProtection="0"/>
    <xf numFmtId="0" fontId="150" fillId="54" borderId="0" applyNumberFormat="0" applyBorder="0" applyAlignment="0" applyProtection="0"/>
    <xf numFmtId="0" fontId="73" fillId="16" borderId="0" applyNumberFormat="0" applyBorder="0" applyAlignment="0" applyProtection="0"/>
    <xf numFmtId="0" fontId="148" fillId="55" borderId="0" applyNumberFormat="0" applyBorder="0" applyAlignment="0" applyProtection="0"/>
    <xf numFmtId="0" fontId="149" fillId="55" borderId="0" applyNumberFormat="0" applyBorder="0" applyAlignment="0" applyProtection="0"/>
    <xf numFmtId="0" fontId="70" fillId="55" borderId="0" applyNumberFormat="0" applyBorder="0" applyAlignment="0" applyProtection="0"/>
    <xf numFmtId="0" fontId="150" fillId="55" borderId="0" applyNumberFormat="0" applyBorder="0" applyAlignment="0" applyProtection="0"/>
    <xf numFmtId="0" fontId="148" fillId="55" borderId="0" applyNumberFormat="0" applyBorder="0" applyAlignment="0" applyProtection="0"/>
    <xf numFmtId="0" fontId="70" fillId="55" borderId="0" applyNumberFormat="0" applyBorder="0" applyAlignment="0" applyProtection="0"/>
    <xf numFmtId="0" fontId="149" fillId="55" borderId="0" applyNumberFormat="0" applyBorder="0" applyAlignment="0" applyProtection="0"/>
    <xf numFmtId="0" fontId="149" fillId="55" borderId="0" applyNumberFormat="0" applyBorder="0" applyAlignment="0" applyProtection="0"/>
    <xf numFmtId="0" fontId="148" fillId="55" borderId="0" applyNumberFormat="0" applyBorder="0" applyAlignment="0" applyProtection="0"/>
    <xf numFmtId="0" fontId="148" fillId="55" borderId="0" applyNumberFormat="0" applyBorder="0" applyAlignment="0" applyProtection="0"/>
    <xf numFmtId="0" fontId="73" fillId="20" borderId="0" applyNumberFormat="0" applyBorder="0" applyAlignment="0" applyProtection="0"/>
    <xf numFmtId="0" fontId="150" fillId="55" borderId="0" applyNumberFormat="0" applyBorder="0" applyAlignment="0" applyProtection="0"/>
    <xf numFmtId="0" fontId="70" fillId="55" borderId="0" applyNumberFormat="0" applyBorder="0" applyAlignment="0" applyProtection="0"/>
    <xf numFmtId="0" fontId="150" fillId="55" borderId="0" applyNumberFormat="0" applyBorder="0" applyAlignment="0" applyProtection="0"/>
    <xf numFmtId="0" fontId="73" fillId="20" borderId="0" applyNumberFormat="0" applyBorder="0" applyAlignment="0" applyProtection="0"/>
    <xf numFmtId="0" fontId="148" fillId="56" borderId="0" applyNumberFormat="0" applyBorder="0" applyAlignment="0" applyProtection="0"/>
    <xf numFmtId="0" fontId="149" fillId="56" borderId="0" applyNumberFormat="0" applyBorder="0" applyAlignment="0" applyProtection="0"/>
    <xf numFmtId="0" fontId="70" fillId="56" borderId="0" applyNumberFormat="0" applyBorder="0" applyAlignment="0" applyProtection="0"/>
    <xf numFmtId="0" fontId="150" fillId="56" borderId="0" applyNumberFormat="0" applyBorder="0" applyAlignment="0" applyProtection="0"/>
    <xf numFmtId="0" fontId="148" fillId="56" borderId="0" applyNumberFormat="0" applyBorder="0" applyAlignment="0" applyProtection="0"/>
    <xf numFmtId="0" fontId="70" fillId="56" borderId="0" applyNumberFormat="0" applyBorder="0" applyAlignment="0" applyProtection="0"/>
    <xf numFmtId="0" fontId="149" fillId="56" borderId="0" applyNumberFormat="0" applyBorder="0" applyAlignment="0" applyProtection="0"/>
    <xf numFmtId="0" fontId="148" fillId="56" borderId="0" applyNumberFormat="0" applyBorder="0" applyAlignment="0" applyProtection="0"/>
    <xf numFmtId="0" fontId="148" fillId="56" borderId="0" applyNumberFormat="0" applyBorder="0" applyAlignment="0" applyProtection="0"/>
    <xf numFmtId="0" fontId="73" fillId="24" borderId="0" applyNumberFormat="0" applyBorder="0" applyAlignment="0" applyProtection="0"/>
    <xf numFmtId="0" fontId="150" fillId="56" borderId="0" applyNumberFormat="0" applyBorder="0" applyAlignment="0" applyProtection="0"/>
    <xf numFmtId="0" fontId="70" fillId="56" borderId="0" applyNumberFormat="0" applyBorder="0" applyAlignment="0" applyProtection="0"/>
    <xf numFmtId="0" fontId="150" fillId="56" borderId="0" applyNumberFormat="0" applyBorder="0" applyAlignment="0" applyProtection="0"/>
    <xf numFmtId="0" fontId="73" fillId="24" borderId="0" applyNumberFormat="0" applyBorder="0" applyAlignment="0" applyProtection="0"/>
    <xf numFmtId="0" fontId="148" fillId="51" borderId="0" applyNumberFormat="0" applyBorder="0" applyAlignment="0" applyProtection="0"/>
    <xf numFmtId="0" fontId="149" fillId="69" borderId="0" applyNumberFormat="0" applyBorder="0" applyAlignment="0" applyProtection="0"/>
    <xf numFmtId="0" fontId="70" fillId="69" borderId="0" applyNumberFormat="0" applyBorder="0" applyAlignment="0" applyProtection="0"/>
    <xf numFmtId="0" fontId="150" fillId="51" borderId="0" applyNumberFormat="0" applyBorder="0" applyAlignment="0" applyProtection="0"/>
    <xf numFmtId="0" fontId="148" fillId="51" borderId="0" applyNumberFormat="0" applyBorder="0" applyAlignment="0" applyProtection="0"/>
    <xf numFmtId="0" fontId="70" fillId="69" borderId="0" applyNumberFormat="0" applyBorder="0" applyAlignment="0" applyProtection="0"/>
    <xf numFmtId="0" fontId="149" fillId="69" borderId="0" applyNumberFormat="0" applyBorder="0" applyAlignment="0" applyProtection="0"/>
    <xf numFmtId="0" fontId="70" fillId="51" borderId="0" applyNumberFormat="0" applyBorder="0" applyAlignment="0" applyProtection="0"/>
    <xf numFmtId="0" fontId="148" fillId="51" borderId="0" applyNumberFormat="0" applyBorder="0" applyAlignment="0" applyProtection="0"/>
    <xf numFmtId="0" fontId="148" fillId="51" borderId="0" applyNumberFormat="0" applyBorder="0" applyAlignment="0" applyProtection="0"/>
    <xf numFmtId="0" fontId="73" fillId="28" borderId="0" applyNumberFormat="0" applyBorder="0" applyAlignment="0" applyProtection="0"/>
    <xf numFmtId="0" fontId="150" fillId="51" borderId="0" applyNumberFormat="0" applyBorder="0" applyAlignment="0" applyProtection="0"/>
    <xf numFmtId="0" fontId="70" fillId="51" borderId="0" applyNumberFormat="0" applyBorder="0" applyAlignment="0" applyProtection="0"/>
    <xf numFmtId="0" fontId="150" fillId="51" borderId="0" applyNumberFormat="0" applyBorder="0" applyAlignment="0" applyProtection="0"/>
    <xf numFmtId="0" fontId="73" fillId="28" borderId="0" applyNumberFormat="0" applyBorder="0" applyAlignment="0" applyProtection="0"/>
    <xf numFmtId="0" fontId="148" fillId="52" borderId="0" applyNumberFormat="0" applyBorder="0" applyAlignment="0" applyProtection="0"/>
    <xf numFmtId="0" fontId="149" fillId="52" borderId="0" applyNumberFormat="0" applyBorder="0" applyAlignment="0" applyProtection="0"/>
    <xf numFmtId="0" fontId="70" fillId="52" borderId="0" applyNumberFormat="0" applyBorder="0" applyAlignment="0" applyProtection="0"/>
    <xf numFmtId="0" fontId="150" fillId="52" borderId="0" applyNumberFormat="0" applyBorder="0" applyAlignment="0" applyProtection="0"/>
    <xf numFmtId="0" fontId="148" fillId="52" borderId="0" applyNumberFormat="0" applyBorder="0" applyAlignment="0" applyProtection="0"/>
    <xf numFmtId="0" fontId="70" fillId="52" borderId="0" applyNumberFormat="0" applyBorder="0" applyAlignment="0" applyProtection="0"/>
    <xf numFmtId="0" fontId="149" fillId="52" borderId="0" applyNumberFormat="0" applyBorder="0" applyAlignment="0" applyProtection="0"/>
    <xf numFmtId="0" fontId="149" fillId="52" borderId="0" applyNumberFormat="0" applyBorder="0" applyAlignment="0" applyProtection="0"/>
    <xf numFmtId="0" fontId="148" fillId="52" borderId="0" applyNumberFormat="0" applyBorder="0" applyAlignment="0" applyProtection="0"/>
    <xf numFmtId="0" fontId="148" fillId="52" borderId="0" applyNumberFormat="0" applyBorder="0" applyAlignment="0" applyProtection="0"/>
    <xf numFmtId="0" fontId="73" fillId="32" borderId="0" applyNumberFormat="0" applyBorder="0" applyAlignment="0" applyProtection="0"/>
    <xf numFmtId="0" fontId="150" fillId="52" borderId="0" applyNumberFormat="0" applyBorder="0" applyAlignment="0" applyProtection="0"/>
    <xf numFmtId="0" fontId="70" fillId="52" borderId="0" applyNumberFormat="0" applyBorder="0" applyAlignment="0" applyProtection="0"/>
    <xf numFmtId="0" fontId="150" fillId="52" borderId="0" applyNumberFormat="0" applyBorder="0" applyAlignment="0" applyProtection="0"/>
    <xf numFmtId="0" fontId="73" fillId="32" borderId="0" applyNumberFormat="0" applyBorder="0" applyAlignment="0" applyProtection="0"/>
    <xf numFmtId="0" fontId="148" fillId="57" borderId="0" applyNumberFormat="0" applyBorder="0" applyAlignment="0" applyProtection="0"/>
    <xf numFmtId="0" fontId="149" fillId="57" borderId="0" applyNumberFormat="0" applyBorder="0" applyAlignment="0" applyProtection="0"/>
    <xf numFmtId="0" fontId="70" fillId="57" borderId="0" applyNumberFormat="0" applyBorder="0" applyAlignment="0" applyProtection="0"/>
    <xf numFmtId="0" fontId="150" fillId="57" borderId="0" applyNumberFormat="0" applyBorder="0" applyAlignment="0" applyProtection="0"/>
    <xf numFmtId="0" fontId="148" fillId="57" borderId="0" applyNumberFormat="0" applyBorder="0" applyAlignment="0" applyProtection="0"/>
    <xf numFmtId="0" fontId="70" fillId="57" borderId="0" applyNumberFormat="0" applyBorder="0" applyAlignment="0" applyProtection="0"/>
    <xf numFmtId="0" fontId="149" fillId="57" borderId="0" applyNumberFormat="0" applyBorder="0" applyAlignment="0" applyProtection="0"/>
    <xf numFmtId="0" fontId="148" fillId="57" borderId="0" applyNumberFormat="0" applyBorder="0" applyAlignment="0" applyProtection="0"/>
    <xf numFmtId="0" fontId="148" fillId="57" borderId="0" applyNumberFormat="0" applyBorder="0" applyAlignment="0" applyProtection="0"/>
    <xf numFmtId="0" fontId="73" fillId="36" borderId="0" applyNumberFormat="0" applyBorder="0" applyAlignment="0" applyProtection="0"/>
    <xf numFmtId="0" fontId="150" fillId="57" borderId="0" applyNumberFormat="0" applyBorder="0" applyAlignment="0" applyProtection="0"/>
    <xf numFmtId="0" fontId="70" fillId="57" borderId="0" applyNumberFormat="0" applyBorder="0" applyAlignment="0" applyProtection="0"/>
    <xf numFmtId="0" fontId="150" fillId="57" borderId="0" applyNumberFormat="0" applyBorder="0" applyAlignment="0" applyProtection="0"/>
    <xf numFmtId="0" fontId="73" fillId="36" borderId="0" applyNumberFormat="0" applyBorder="0" applyAlignment="0" applyProtection="0"/>
    <xf numFmtId="189" fontId="66" fillId="70" borderId="28">
      <alignment horizontal="center" vertical="center"/>
    </xf>
    <xf numFmtId="189" fontId="66" fillId="70" borderId="28">
      <alignment horizontal="center" vertical="center"/>
    </xf>
    <xf numFmtId="0" fontId="56" fillId="0" borderId="0" applyNumberFormat="0" applyFill="0" applyBorder="0" applyAlignment="0">
      <protection locked="0"/>
    </xf>
    <xf numFmtId="0" fontId="56" fillId="0" borderId="0" applyNumberFormat="0" applyFill="0" applyBorder="0" applyAlignment="0">
      <protection locked="0"/>
    </xf>
    <xf numFmtId="0" fontId="130" fillId="41" borderId="0" applyNumberFormat="0" applyBorder="0" applyAlignment="0" applyProtection="0"/>
    <xf numFmtId="0" fontId="151" fillId="41" borderId="0" applyNumberFormat="0" applyBorder="0" applyAlignment="0" applyProtection="0"/>
    <xf numFmtId="0" fontId="74" fillId="41" borderId="0" applyNumberFormat="0" applyBorder="0" applyAlignment="0" applyProtection="0"/>
    <xf numFmtId="0" fontId="152" fillId="41" borderId="0" applyNumberFormat="0" applyBorder="0" applyAlignment="0" applyProtection="0"/>
    <xf numFmtId="0" fontId="130" fillId="41" borderId="0" applyNumberFormat="0" applyBorder="0" applyAlignment="0" applyProtection="0"/>
    <xf numFmtId="0" fontId="74" fillId="41" borderId="0" applyNumberFormat="0" applyBorder="0" applyAlignment="0" applyProtection="0"/>
    <xf numFmtId="0" fontId="130" fillId="41" borderId="0" applyNumberFormat="0" applyBorder="0" applyAlignment="0" applyProtection="0"/>
    <xf numFmtId="0" fontId="130" fillId="41" borderId="0" applyNumberFormat="0" applyBorder="0" applyAlignment="0" applyProtection="0"/>
    <xf numFmtId="0" fontId="125" fillId="10" borderId="0" applyNumberFormat="0" applyBorder="0" applyAlignment="0" applyProtection="0"/>
    <xf numFmtId="0" fontId="152" fillId="41" borderId="0" applyNumberFormat="0" applyBorder="0" applyAlignment="0" applyProtection="0"/>
    <xf numFmtId="0" fontId="74" fillId="41" borderId="0" applyNumberFormat="0" applyBorder="0" applyAlignment="0" applyProtection="0"/>
    <xf numFmtId="0" fontId="152" fillId="41" borderId="0" applyNumberFormat="0" applyBorder="0" applyAlignment="0" applyProtection="0"/>
    <xf numFmtId="0" fontId="125" fillId="10" borderId="0" applyNumberFormat="0" applyBorder="0" applyAlignment="0" applyProtection="0"/>
    <xf numFmtId="190" fontId="153" fillId="0" borderId="0" applyFill="0" applyBorder="0" applyAlignment="0"/>
    <xf numFmtId="0" fontId="154" fillId="58" borderId="15" applyNumberFormat="0" applyAlignment="0" applyProtection="0"/>
    <xf numFmtId="0" fontId="77" fillId="48" borderId="29" applyNumberFormat="0" applyAlignment="0" applyProtection="0"/>
    <xf numFmtId="0" fontId="77" fillId="59" borderId="15" applyNumberFormat="0" applyAlignment="0" applyProtection="0"/>
    <xf numFmtId="0" fontId="155" fillId="58" borderId="15" applyNumberFormat="0" applyAlignment="0" applyProtection="0"/>
    <xf numFmtId="0" fontId="154" fillId="58" borderId="15" applyNumberFormat="0" applyAlignment="0" applyProtection="0"/>
    <xf numFmtId="0" fontId="77" fillId="59" borderId="15" applyNumberFormat="0" applyAlignment="0" applyProtection="0"/>
    <xf numFmtId="0" fontId="77" fillId="48" borderId="29" applyNumberFormat="0" applyAlignment="0" applyProtection="0"/>
    <xf numFmtId="0" fontId="77" fillId="48" borderId="29" applyNumberFormat="0" applyAlignment="0" applyProtection="0"/>
    <xf numFmtId="0" fontId="77" fillId="58" borderId="15" applyNumberFormat="0" applyAlignment="0" applyProtection="0"/>
    <xf numFmtId="0" fontId="77" fillId="48" borderId="29" applyNumberFormat="0" applyAlignment="0" applyProtection="0"/>
    <xf numFmtId="0" fontId="77" fillId="58" borderId="15" applyNumberFormat="0" applyAlignment="0" applyProtection="0"/>
    <xf numFmtId="0" fontId="154" fillId="58" borderId="15" applyNumberFormat="0" applyAlignment="0" applyProtection="0"/>
    <xf numFmtId="0" fontId="77" fillId="58" borderId="15" applyNumberFormat="0" applyAlignment="0" applyProtection="0"/>
    <xf numFmtId="0" fontId="138" fillId="13" borderId="9" applyNumberFormat="0" applyAlignment="0" applyProtection="0"/>
    <xf numFmtId="0" fontId="155" fillId="58" borderId="15" applyNumberFormat="0" applyAlignment="0" applyProtection="0"/>
    <xf numFmtId="0" fontId="155" fillId="58" borderId="15" applyNumberFormat="0" applyAlignment="0" applyProtection="0"/>
    <xf numFmtId="0" fontId="77" fillId="58" borderId="15" applyNumberFormat="0" applyAlignment="0" applyProtection="0"/>
    <xf numFmtId="0" fontId="155" fillId="58" borderId="15" applyNumberFormat="0" applyAlignment="0" applyProtection="0"/>
    <xf numFmtId="0" fontId="138" fillId="13" borderId="9" applyNumberFormat="0" applyAlignment="0" applyProtection="0"/>
    <xf numFmtId="0" fontId="156" fillId="59" borderId="16" applyNumberFormat="0" applyAlignment="0" applyProtection="0"/>
    <xf numFmtId="0" fontId="157" fillId="59" borderId="16" applyNumberFormat="0" applyAlignment="0" applyProtection="0"/>
    <xf numFmtId="0" fontId="82" fillId="58" borderId="16" applyNumberFormat="0" applyAlignment="0" applyProtection="0"/>
    <xf numFmtId="0" fontId="158" fillId="59" borderId="16" applyNumberFormat="0" applyAlignment="0" applyProtection="0"/>
    <xf numFmtId="0" fontId="156" fillId="59" borderId="16" applyNumberFormat="0" applyAlignment="0" applyProtection="0"/>
    <xf numFmtId="0" fontId="82" fillId="58" borderId="16" applyNumberFormat="0" applyAlignment="0" applyProtection="0"/>
    <xf numFmtId="0" fontId="157" fillId="59" borderId="16" applyNumberFormat="0" applyAlignment="0" applyProtection="0"/>
    <xf numFmtId="0" fontId="82" fillId="59" borderId="16" applyNumberFormat="0" applyAlignment="0" applyProtection="0"/>
    <xf numFmtId="0" fontId="157" fillId="59" borderId="16" applyNumberFormat="0" applyAlignment="0" applyProtection="0"/>
    <xf numFmtId="0" fontId="156" fillId="59" borderId="16" applyNumberFormat="0" applyAlignment="0" applyProtection="0"/>
    <xf numFmtId="0" fontId="80" fillId="14" borderId="12" applyNumberFormat="0" applyAlignment="0" applyProtection="0"/>
    <xf numFmtId="0" fontId="82" fillId="59" borderId="16" applyNumberFormat="0" applyAlignment="0" applyProtection="0"/>
    <xf numFmtId="0" fontId="158" fillId="59" borderId="16" applyNumberFormat="0" applyAlignment="0" applyProtection="0"/>
    <xf numFmtId="0" fontId="80" fillId="14" borderId="12" applyNumberFormat="0" applyAlignment="0" applyProtection="0"/>
    <xf numFmtId="0" fontId="159" fillId="0" borderId="0" applyFont="0" applyFill="0" applyBorder="0" applyAlignment="0" applyProtection="0">
      <alignment horizontal="right"/>
    </xf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12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66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45" fillId="0" borderId="0" applyFont="0" applyFill="0" applyBorder="0" applyAlignment="0" applyProtection="0"/>
    <xf numFmtId="0" fontId="159" fillId="0" borderId="0" applyFont="0" applyFill="0" applyBorder="0" applyAlignment="0" applyProtection="0">
      <alignment horizontal="right"/>
    </xf>
    <xf numFmtId="43" fontId="45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0" fontId="159" fillId="0" borderId="0" applyFont="0" applyFill="0" applyBorder="0" applyAlignment="0" applyProtection="0">
      <alignment horizontal="right"/>
    </xf>
    <xf numFmtId="0" fontId="159" fillId="0" borderId="0" applyFont="0" applyFill="0" applyBorder="0" applyAlignment="0" applyProtection="0">
      <alignment horizontal="right"/>
    </xf>
    <xf numFmtId="43" fontId="45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160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160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160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16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191" fontId="57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45" fillId="0" borderId="0" applyFont="0" applyFill="0" applyBorder="0" applyAlignment="0" applyProtection="0"/>
    <xf numFmtId="191" fontId="57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67" fillId="0" borderId="0" applyFont="0" applyFill="0" applyBorder="0" applyAlignment="0" applyProtection="0"/>
    <xf numFmtId="3" fontId="45" fillId="0" borderId="0" applyFont="0" applyFill="0" applyBorder="0" applyAlignment="0" applyProtection="0"/>
    <xf numFmtId="0" fontId="161" fillId="0" borderId="0"/>
    <xf numFmtId="0" fontId="162" fillId="0" borderId="0"/>
    <xf numFmtId="0" fontId="163" fillId="0" borderId="0" applyNumberFormat="0" applyAlignment="0">
      <alignment horizontal="left"/>
    </xf>
    <xf numFmtId="0" fontId="164" fillId="0" borderId="0" applyNumberFormat="0" applyAlignment="0"/>
    <xf numFmtId="0" fontId="162" fillId="0" borderId="0"/>
    <xf numFmtId="0" fontId="162" fillId="0" borderId="0"/>
    <xf numFmtId="0" fontId="159" fillId="0" borderId="0" applyFont="0" applyFill="0" applyBorder="0" applyAlignment="0" applyProtection="0">
      <alignment horizontal="right"/>
    </xf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60" fillId="0" borderId="0" applyFont="0" applyFill="0" applyBorder="0" applyAlignment="0" applyProtection="0"/>
    <xf numFmtId="44" fontId="60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60" fillId="0" borderId="0" applyFont="0" applyFill="0" applyBorder="0" applyAlignment="0" applyProtection="0"/>
    <xf numFmtId="44" fontId="60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165" fillId="0" borderId="0" applyFont="0" applyFill="0" applyBorder="0" applyAlignment="0" applyProtection="0"/>
    <xf numFmtId="44" fontId="38" fillId="0" borderId="0" applyFont="0" applyFill="0" applyBorder="0" applyAlignment="0" applyProtection="0"/>
    <xf numFmtId="0" fontId="159" fillId="0" borderId="0" applyFont="0" applyFill="0" applyBorder="0" applyAlignment="0" applyProtection="0">
      <alignment horizontal="right"/>
    </xf>
    <xf numFmtId="44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0" fontId="159" fillId="0" borderId="0" applyFont="0" applyFill="0" applyBorder="0" applyAlignment="0" applyProtection="0">
      <alignment horizontal="right"/>
    </xf>
    <xf numFmtId="44" fontId="60" fillId="0" borderId="0" applyFont="0" applyFill="0" applyBorder="0" applyAlignment="0" applyProtection="0"/>
    <xf numFmtId="44" fontId="60" fillId="0" borderId="0" applyFont="0" applyFill="0" applyBorder="0" applyAlignment="0" applyProtection="0"/>
    <xf numFmtId="0" fontId="159" fillId="0" borderId="0" applyFont="0" applyFill="0" applyBorder="0" applyAlignment="0" applyProtection="0">
      <alignment horizontal="right"/>
    </xf>
    <xf numFmtId="44" fontId="45" fillId="0" borderId="0" applyFont="0" applyFill="0" applyBorder="0" applyAlignment="0" applyProtection="0"/>
    <xf numFmtId="44" fontId="67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60" fillId="0" borderId="0" applyFont="0" applyFill="0" applyBorder="0" applyAlignment="0" applyProtection="0"/>
    <xf numFmtId="44" fontId="67" fillId="0" borderId="0" applyFont="0" applyFill="0" applyBorder="0" applyAlignment="0" applyProtection="0"/>
    <xf numFmtId="44" fontId="60" fillId="0" borderId="0" applyFont="0" applyFill="0" applyBorder="0" applyAlignment="0" applyProtection="0"/>
    <xf numFmtId="44" fontId="60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60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67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60" fillId="0" borderId="0" applyFont="0" applyFill="0" applyBorder="0" applyAlignment="0" applyProtection="0"/>
    <xf numFmtId="44" fontId="60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38" fillId="0" borderId="0" applyFont="0" applyFill="0" applyBorder="0" applyAlignment="0" applyProtection="0"/>
    <xf numFmtId="5" fontId="45" fillId="0" borderId="0" applyFont="0" applyFill="0" applyBorder="0" applyAlignment="0" applyProtection="0"/>
    <xf numFmtId="14" fontId="49" fillId="0" borderId="0" applyFont="0" applyFill="0" applyBorder="0" applyAlignment="0" applyProtection="0"/>
    <xf numFmtId="14" fontId="49" fillId="0" borderId="0" applyFont="0" applyFill="0" applyBorder="0" applyAlignment="0" applyProtection="0"/>
    <xf numFmtId="14" fontId="49" fillId="0" borderId="0" applyFont="0" applyFill="0" applyBorder="0" applyAlignment="0" applyProtection="0"/>
    <xf numFmtId="6" fontId="166" fillId="0" borderId="0">
      <protection locked="0"/>
    </xf>
    <xf numFmtId="6" fontId="166" fillId="0" borderId="0">
      <protection locked="0"/>
    </xf>
    <xf numFmtId="14" fontId="49" fillId="0" borderId="0" applyFont="0" applyFill="0" applyBorder="0" applyAlignment="0" applyProtection="0"/>
    <xf numFmtId="6" fontId="166" fillId="0" borderId="0">
      <protection locked="0"/>
    </xf>
    <xf numFmtId="0" fontId="159" fillId="0" borderId="0" applyFont="0" applyFill="0" applyBorder="0" applyAlignment="0" applyProtection="0"/>
    <xf numFmtId="14" fontId="49" fillId="0" borderId="0" applyFont="0" applyFill="0" applyBorder="0" applyAlignment="0" applyProtection="0"/>
    <xf numFmtId="0" fontId="159" fillId="0" borderId="30" applyNumberFormat="0" applyFont="0" applyFill="0" applyAlignment="0" applyProtection="0"/>
    <xf numFmtId="170" fontId="45" fillId="0" borderId="0"/>
    <xf numFmtId="178" fontId="66" fillId="0" borderId="0" applyFont="0" applyFill="0" applyBorder="0" applyAlignment="0" applyProtection="0"/>
    <xf numFmtId="178" fontId="66" fillId="0" borderId="0" applyFont="0" applyFill="0" applyBorder="0" applyAlignment="0" applyProtection="0"/>
    <xf numFmtId="0" fontId="167" fillId="0" borderId="0" applyNumberFormat="0" applyFill="0" applyBorder="0" applyAlignment="0" applyProtection="0"/>
    <xf numFmtId="0" fontId="168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169" fillId="0" borderId="0" applyNumberFormat="0" applyFill="0" applyBorder="0" applyAlignment="0" applyProtection="0"/>
    <xf numFmtId="0" fontId="167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168" fillId="0" borderId="0" applyNumberFormat="0" applyFill="0" applyBorder="0" applyAlignment="0" applyProtection="0"/>
    <xf numFmtId="0" fontId="168" fillId="0" borderId="0" applyNumberFormat="0" applyFill="0" applyBorder="0" applyAlignment="0" applyProtection="0"/>
    <xf numFmtId="0" fontId="167" fillId="0" borderId="0" applyNumberFormat="0" applyFill="0" applyBorder="0" applyAlignment="0" applyProtection="0"/>
    <xf numFmtId="0" fontId="167" fillId="0" borderId="0" applyNumberFormat="0" applyFill="0" applyBorder="0" applyAlignment="0" applyProtection="0"/>
    <xf numFmtId="0" fontId="140" fillId="0" borderId="0" applyNumberFormat="0" applyFill="0" applyBorder="0" applyAlignment="0" applyProtection="0"/>
    <xf numFmtId="0" fontId="169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169" fillId="0" borderId="0" applyNumberFormat="0" applyFill="0" applyBorder="0" applyAlignment="0" applyProtection="0"/>
    <xf numFmtId="0" fontId="140" fillId="0" borderId="0" applyNumberFormat="0" applyFill="0" applyBorder="0" applyAlignment="0" applyProtection="0"/>
    <xf numFmtId="0" fontId="170" fillId="0" borderId="0" applyProtection="0"/>
    <xf numFmtId="0" fontId="170" fillId="0" borderId="0" applyProtection="0"/>
    <xf numFmtId="0" fontId="170" fillId="0" borderId="0" applyProtection="0"/>
    <xf numFmtId="0" fontId="49" fillId="0" borderId="0" applyProtection="0"/>
    <xf numFmtId="0" fontId="49" fillId="0" borderId="0" applyProtection="0"/>
    <xf numFmtId="0" fontId="49" fillId="0" borderId="0" applyProtection="0"/>
    <xf numFmtId="0" fontId="49" fillId="0" borderId="0" applyProtection="0"/>
    <xf numFmtId="0" fontId="53" fillId="0" borderId="0" applyProtection="0"/>
    <xf numFmtId="0" fontId="53" fillId="0" borderId="0" applyProtection="0"/>
    <xf numFmtId="0" fontId="53" fillId="0" borderId="0" applyProtection="0"/>
    <xf numFmtId="0" fontId="60" fillId="0" borderId="0" applyProtection="0"/>
    <xf numFmtId="0" fontId="60" fillId="0" borderId="0" applyProtection="0"/>
    <xf numFmtId="0" fontId="60" fillId="0" borderId="0" applyProtection="0"/>
    <xf numFmtId="0" fontId="60" fillId="0" borderId="0" applyProtection="0"/>
    <xf numFmtId="0" fontId="60" fillId="0" borderId="0" applyProtection="0"/>
    <xf numFmtId="0" fontId="60" fillId="0" borderId="0" applyProtection="0"/>
    <xf numFmtId="0" fontId="60" fillId="0" borderId="0" applyProtection="0"/>
    <xf numFmtId="0" fontId="60" fillId="0" borderId="0" applyProtection="0"/>
    <xf numFmtId="0" fontId="171" fillId="0" borderId="0" applyProtection="0"/>
    <xf numFmtId="0" fontId="171" fillId="0" borderId="0" applyProtection="0"/>
    <xf numFmtId="0" fontId="171" fillId="0" borderId="0" applyProtection="0"/>
    <xf numFmtId="0" fontId="172" fillId="0" borderId="0" applyProtection="0"/>
    <xf numFmtId="0" fontId="172" fillId="0" borderId="0" applyProtection="0"/>
    <xf numFmtId="0" fontId="172" fillId="0" borderId="0" applyProtection="0"/>
    <xf numFmtId="0" fontId="172" fillId="0" borderId="0" applyProtection="0"/>
    <xf numFmtId="0" fontId="61" fillId="0" borderId="0" applyProtection="0"/>
    <xf numFmtId="0" fontId="61" fillId="0" borderId="0" applyProtection="0"/>
    <xf numFmtId="0" fontId="61" fillId="0" borderId="0" applyProtection="0"/>
    <xf numFmtId="192" fontId="45" fillId="0" borderId="0">
      <protection locked="0"/>
    </xf>
    <xf numFmtId="192" fontId="45" fillId="0" borderId="0">
      <protection locked="0"/>
    </xf>
    <xf numFmtId="192" fontId="45" fillId="0" borderId="0">
      <protection locked="0"/>
    </xf>
    <xf numFmtId="192" fontId="45" fillId="0" borderId="0">
      <protection locked="0"/>
    </xf>
    <xf numFmtId="192" fontId="45" fillId="0" borderId="0">
      <protection locked="0"/>
    </xf>
    <xf numFmtId="2" fontId="173" fillId="0" borderId="0" applyFont="0" applyFill="0" applyBorder="0" applyAlignment="0" applyProtection="0"/>
    <xf numFmtId="0" fontId="162" fillId="0" borderId="0"/>
    <xf numFmtId="0" fontId="162" fillId="0" borderId="0"/>
    <xf numFmtId="0" fontId="172" fillId="0" borderId="0" applyFill="0" applyBorder="0" applyProtection="0">
      <alignment horizontal="left"/>
    </xf>
    <xf numFmtId="0" fontId="59" fillId="42" borderId="0" applyNumberFormat="0" applyBorder="0" applyAlignment="0" applyProtection="0"/>
    <xf numFmtId="0" fontId="174" fillId="66" borderId="0" applyNumberFormat="0" applyBorder="0" applyAlignment="0" applyProtection="0"/>
    <xf numFmtId="0" fontId="89" fillId="42" borderId="0" applyNumberFormat="0" applyBorder="0" applyAlignment="0" applyProtection="0"/>
    <xf numFmtId="0" fontId="175" fillId="42" borderId="0" applyNumberFormat="0" applyBorder="0" applyAlignment="0" applyProtection="0"/>
    <xf numFmtId="0" fontId="59" fillId="42" borderId="0" applyNumberFormat="0" applyBorder="0" applyAlignment="0" applyProtection="0"/>
    <xf numFmtId="0" fontId="89" fillId="42" borderId="0" applyNumberFormat="0" applyBorder="0" applyAlignment="0" applyProtection="0"/>
    <xf numFmtId="0" fontId="59" fillId="42" borderId="0" applyNumberFormat="0" applyBorder="0" applyAlignment="0" applyProtection="0"/>
    <xf numFmtId="0" fontId="91" fillId="9" borderId="0" applyNumberFormat="0" applyBorder="0" applyAlignment="0" applyProtection="0"/>
    <xf numFmtId="0" fontId="89" fillId="42" borderId="0" applyNumberFormat="0" applyBorder="0" applyAlignment="0" applyProtection="0"/>
    <xf numFmtId="0" fontId="175" fillId="42" borderId="0" applyNumberFormat="0" applyBorder="0" applyAlignment="0" applyProtection="0"/>
    <xf numFmtId="0" fontId="91" fillId="9" borderId="0" applyNumberFormat="0" applyBorder="0" applyAlignment="0" applyProtection="0"/>
    <xf numFmtId="0" fontId="129" fillId="9" borderId="0" applyNumberFormat="0" applyBorder="0" applyAlignment="0" applyProtection="0"/>
    <xf numFmtId="38" fontId="49" fillId="3" borderId="0" applyNumberFormat="0" applyBorder="0" applyAlignment="0" applyProtection="0"/>
    <xf numFmtId="38" fontId="49" fillId="3" borderId="0" applyNumberFormat="0" applyBorder="0" applyAlignment="0" applyProtection="0"/>
    <xf numFmtId="0" fontId="159" fillId="0" borderId="0" applyFont="0" applyFill="0" applyBorder="0" applyAlignment="0" applyProtection="0">
      <alignment horizontal="right"/>
    </xf>
    <xf numFmtId="0" fontId="176" fillId="0" borderId="0" applyProtection="0">
      <alignment horizontal="right"/>
    </xf>
    <xf numFmtId="0" fontId="177" fillId="0" borderId="0" applyNumberFormat="0" applyFill="0" applyBorder="0" applyAlignment="0" applyProtection="0"/>
    <xf numFmtId="0" fontId="176" fillId="0" borderId="0" applyProtection="0">
      <alignment horizontal="right"/>
    </xf>
    <xf numFmtId="0" fontId="50" fillId="0" borderId="24" applyNumberFormat="0" applyAlignment="0" applyProtection="0">
      <alignment horizontal="left"/>
    </xf>
    <xf numFmtId="0" fontId="50" fillId="0" borderId="25">
      <alignment horizontal="left"/>
    </xf>
    <xf numFmtId="0" fontId="178" fillId="0" borderId="31" applyNumberFormat="0" applyFill="0" applyAlignment="0" applyProtection="0"/>
    <xf numFmtId="0" fontId="179" fillId="0" borderId="17" applyNumberFormat="0" applyFill="0" applyAlignment="0" applyProtection="0"/>
    <xf numFmtId="0" fontId="180" fillId="0" borderId="31" applyNumberFormat="0" applyFill="0" applyAlignment="0" applyProtection="0"/>
    <xf numFmtId="0" fontId="180" fillId="0" borderId="31" applyNumberFormat="0" applyFill="0" applyAlignment="0" applyProtection="0"/>
    <xf numFmtId="0" fontId="93" fillId="0" borderId="17" applyNumberFormat="0" applyFill="0" applyAlignment="0" applyProtection="0"/>
    <xf numFmtId="0" fontId="180" fillId="0" borderId="31" applyNumberFormat="0" applyFill="0" applyAlignment="0" applyProtection="0"/>
    <xf numFmtId="0" fontId="179" fillId="0" borderId="17" applyNumberFormat="0" applyFill="0" applyAlignment="0" applyProtection="0"/>
    <xf numFmtId="0" fontId="134" fillId="0" borderId="6" applyNumberFormat="0" applyFill="0" applyAlignment="0" applyProtection="0"/>
    <xf numFmtId="0" fontId="179" fillId="0" borderId="17" applyNumberFormat="0" applyFill="0" applyAlignment="0" applyProtection="0"/>
    <xf numFmtId="0" fontId="93" fillId="0" borderId="17" applyNumberFormat="0" applyFill="0" applyAlignment="0" applyProtection="0"/>
    <xf numFmtId="0" fontId="179" fillId="0" borderId="17" applyNumberFormat="0" applyFill="0" applyAlignment="0" applyProtection="0"/>
    <xf numFmtId="0" fontId="134" fillId="0" borderId="6" applyNumberFormat="0" applyFill="0" applyAlignment="0" applyProtection="0"/>
    <xf numFmtId="0" fontId="50" fillId="0" borderId="0" applyNumberFormat="0" applyFont="0" applyFill="0" applyAlignment="0" applyProtection="0"/>
    <xf numFmtId="0" fontId="181" fillId="0" borderId="18" applyNumberFormat="0" applyFill="0" applyAlignment="0" applyProtection="0"/>
    <xf numFmtId="0" fontId="182" fillId="0" borderId="32" applyNumberFormat="0" applyFill="0" applyAlignment="0" applyProtection="0"/>
    <xf numFmtId="0" fontId="182" fillId="0" borderId="32" applyNumberFormat="0" applyFill="0" applyAlignment="0" applyProtection="0"/>
    <xf numFmtId="0" fontId="96" fillId="0" borderId="18" applyNumberFormat="0" applyFill="0" applyAlignment="0" applyProtection="0"/>
    <xf numFmtId="0" fontId="182" fillId="0" borderId="32" applyNumberFormat="0" applyFill="0" applyAlignment="0" applyProtection="0"/>
    <xf numFmtId="0" fontId="181" fillId="0" borderId="18" applyNumberFormat="0" applyFill="0" applyAlignment="0" applyProtection="0"/>
    <xf numFmtId="0" fontId="135" fillId="0" borderId="7" applyNumberFormat="0" applyFill="0" applyAlignment="0" applyProtection="0"/>
    <xf numFmtId="0" fontId="181" fillId="0" borderId="18" applyNumberFormat="0" applyFill="0" applyAlignment="0" applyProtection="0"/>
    <xf numFmtId="0" fontId="96" fillId="0" borderId="18" applyNumberFormat="0" applyFill="0" applyAlignment="0" applyProtection="0"/>
    <xf numFmtId="0" fontId="181" fillId="0" borderId="18" applyNumberFormat="0" applyFill="0" applyAlignment="0" applyProtection="0"/>
    <xf numFmtId="0" fontId="135" fillId="0" borderId="7" applyNumberFormat="0" applyFill="0" applyAlignment="0" applyProtection="0"/>
    <xf numFmtId="0" fontId="183" fillId="0" borderId="33" applyNumberFormat="0" applyFill="0" applyAlignment="0" applyProtection="0"/>
    <xf numFmtId="0" fontId="184" fillId="0" borderId="19" applyNumberFormat="0" applyFill="0" applyAlignment="0" applyProtection="0"/>
    <xf numFmtId="0" fontId="185" fillId="0" borderId="33" applyNumberFormat="0" applyFill="0" applyAlignment="0" applyProtection="0"/>
    <xf numFmtId="0" fontId="185" fillId="0" borderId="33" applyNumberFormat="0" applyFill="0" applyAlignment="0" applyProtection="0"/>
    <xf numFmtId="0" fontId="99" fillId="0" borderId="19" applyNumberFormat="0" applyFill="0" applyAlignment="0" applyProtection="0"/>
    <xf numFmtId="0" fontId="185" fillId="0" borderId="33" applyNumberFormat="0" applyFill="0" applyAlignment="0" applyProtection="0"/>
    <xf numFmtId="0" fontId="184" fillId="0" borderId="19" applyNumberFormat="0" applyFill="0" applyAlignment="0" applyProtection="0"/>
    <xf numFmtId="0" fontId="136" fillId="0" borderId="8" applyNumberFormat="0" applyFill="0" applyAlignment="0" applyProtection="0"/>
    <xf numFmtId="0" fontId="184" fillId="0" borderId="19" applyNumberFormat="0" applyFill="0" applyAlignment="0" applyProtection="0"/>
    <xf numFmtId="0" fontId="99" fillId="0" borderId="19" applyNumberFormat="0" applyFill="0" applyAlignment="0" applyProtection="0"/>
    <xf numFmtId="0" fontId="184" fillId="0" borderId="19" applyNumberFormat="0" applyFill="0" applyAlignment="0" applyProtection="0"/>
    <xf numFmtId="0" fontId="136" fillId="0" borderId="8" applyNumberFormat="0" applyFill="0" applyAlignment="0" applyProtection="0"/>
    <xf numFmtId="0" fontId="183" fillId="0" borderId="0" applyNumberFormat="0" applyFill="0" applyBorder="0" applyAlignment="0" applyProtection="0"/>
    <xf numFmtId="0" fontId="184" fillId="0" borderId="0" applyNumberFormat="0" applyFill="0" applyBorder="0" applyAlignment="0" applyProtection="0"/>
    <xf numFmtId="0" fontId="185" fillId="0" borderId="0" applyNumberFormat="0" applyFill="0" applyBorder="0" applyAlignment="0" applyProtection="0"/>
    <xf numFmtId="0" fontId="185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184" fillId="0" borderId="0" applyNumberFormat="0" applyFill="0" applyBorder="0" applyAlignment="0" applyProtection="0"/>
    <xf numFmtId="0" fontId="136" fillId="0" borderId="0" applyNumberFormat="0" applyFill="0" applyBorder="0" applyAlignment="0" applyProtection="0"/>
    <xf numFmtId="0" fontId="184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184" fillId="0" borderId="0" applyNumberFormat="0" applyFill="0" applyBorder="0" applyAlignment="0" applyProtection="0"/>
    <xf numFmtId="0" fontId="136" fillId="0" borderId="0" applyNumberFormat="0" applyFill="0" applyBorder="0" applyAlignment="0" applyProtection="0"/>
    <xf numFmtId="193" fontId="45" fillId="0" borderId="0">
      <protection locked="0"/>
    </xf>
    <xf numFmtId="193" fontId="45" fillId="0" borderId="0">
      <protection locked="0"/>
    </xf>
    <xf numFmtId="193" fontId="45" fillId="0" borderId="0">
      <protection locked="0"/>
    </xf>
    <xf numFmtId="193" fontId="45" fillId="0" borderId="0">
      <protection locked="0"/>
    </xf>
    <xf numFmtId="193" fontId="45" fillId="0" borderId="0">
      <protection locked="0"/>
    </xf>
    <xf numFmtId="38" fontId="186" fillId="0" borderId="0"/>
    <xf numFmtId="193" fontId="45" fillId="0" borderId="0">
      <protection locked="0"/>
    </xf>
    <xf numFmtId="193" fontId="45" fillId="0" borderId="0">
      <protection locked="0"/>
    </xf>
    <xf numFmtId="193" fontId="45" fillId="0" borderId="0">
      <protection locked="0"/>
    </xf>
    <xf numFmtId="193" fontId="45" fillId="0" borderId="0">
      <protection locked="0"/>
    </xf>
    <xf numFmtId="193" fontId="45" fillId="0" borderId="0">
      <protection locked="0"/>
    </xf>
    <xf numFmtId="40" fontId="186" fillId="0" borderId="0"/>
    <xf numFmtId="0" fontId="56" fillId="0" borderId="34" applyNumberFormat="0" applyFill="0" applyAlignment="0" applyProtection="0"/>
    <xf numFmtId="0" fontId="56" fillId="0" borderId="34" applyNumberFormat="0" applyFill="0" applyAlignment="0" applyProtection="0"/>
    <xf numFmtId="0" fontId="187" fillId="0" borderId="0" applyNumberFormat="0" applyFill="0" applyBorder="0" applyAlignment="0" applyProtection="0">
      <alignment vertical="top"/>
      <protection locked="0"/>
    </xf>
    <xf numFmtId="0" fontId="187" fillId="0" borderId="0" applyNumberFormat="0" applyFill="0" applyBorder="0" applyAlignment="0" applyProtection="0">
      <alignment vertical="top"/>
      <protection locked="0"/>
    </xf>
    <xf numFmtId="0" fontId="188" fillId="0" borderId="0" applyNumberFormat="0" applyFill="0" applyBorder="0" applyAlignment="0" applyProtection="0">
      <alignment vertical="top"/>
      <protection locked="0"/>
    </xf>
    <xf numFmtId="0" fontId="187" fillId="0" borderId="0" applyNumberFormat="0" applyFill="0" applyBorder="0" applyAlignment="0" applyProtection="0">
      <alignment vertical="top"/>
      <protection locked="0"/>
    </xf>
    <xf numFmtId="0" fontId="188" fillId="0" borderId="0" applyNumberFormat="0" applyFill="0" applyBorder="0" applyAlignment="0" applyProtection="0">
      <alignment vertical="top"/>
      <protection locked="0"/>
    </xf>
    <xf numFmtId="0" fontId="188" fillId="0" borderId="0" applyNumberFormat="0" applyFill="0" applyBorder="0" applyAlignment="0" applyProtection="0">
      <alignment vertical="top"/>
      <protection locked="0"/>
    </xf>
    <xf numFmtId="0" fontId="187" fillId="0" borderId="0" applyNumberFormat="0" applyFill="0" applyBorder="0" applyAlignment="0" applyProtection="0">
      <alignment vertical="top"/>
      <protection locked="0"/>
    </xf>
    <xf numFmtId="0" fontId="189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87" fillId="0" borderId="0" applyNumberFormat="0" applyFill="0" applyBorder="0" applyAlignment="0" applyProtection="0">
      <alignment vertical="top"/>
      <protection locked="0"/>
    </xf>
    <xf numFmtId="0" fontId="189" fillId="0" borderId="0" applyNumberFormat="0" applyFill="0" applyBorder="0" applyAlignment="0" applyProtection="0"/>
    <xf numFmtId="0" fontId="188" fillId="0" borderId="0" applyNumberFormat="0" applyFill="0" applyBorder="0" applyAlignment="0" applyProtection="0">
      <alignment vertical="top"/>
      <protection locked="0"/>
    </xf>
    <xf numFmtId="0" fontId="187" fillId="0" borderId="0" applyNumberFormat="0" applyFill="0" applyBorder="0" applyAlignment="0" applyProtection="0">
      <alignment vertical="top"/>
      <protection locked="0"/>
    </xf>
    <xf numFmtId="0" fontId="188" fillId="0" borderId="0" applyNumberFormat="0" applyFill="0" applyBorder="0" applyAlignment="0" applyProtection="0">
      <alignment vertical="top"/>
      <protection locked="0"/>
    </xf>
    <xf numFmtId="0" fontId="190" fillId="0" borderId="0" applyNumberFormat="0" applyFill="0" applyBorder="0" applyAlignment="0" applyProtection="0">
      <alignment vertical="top"/>
      <protection locked="0"/>
    </xf>
    <xf numFmtId="0" fontId="188" fillId="0" borderId="0" applyNumberFormat="0" applyFill="0" applyBorder="0" applyAlignment="0" applyProtection="0">
      <alignment vertical="top"/>
      <protection locked="0"/>
    </xf>
    <xf numFmtId="179" fontId="187" fillId="0" borderId="0" applyNumberFormat="0" applyFill="0" applyBorder="0" applyAlignment="0" applyProtection="0">
      <alignment vertical="top"/>
      <protection locked="0"/>
    </xf>
    <xf numFmtId="0" fontId="188" fillId="0" borderId="0" applyNumberFormat="0" applyFill="0" applyBorder="0" applyAlignment="0" applyProtection="0">
      <alignment vertical="top"/>
      <protection locked="0"/>
    </xf>
    <xf numFmtId="0" fontId="190" fillId="0" borderId="0" applyNumberFormat="0" applyFill="0" applyBorder="0" applyAlignment="0" applyProtection="0">
      <alignment vertical="top"/>
      <protection locked="0"/>
    </xf>
    <xf numFmtId="0" fontId="188" fillId="0" borderId="0" applyNumberFormat="0" applyFill="0" applyBorder="0" applyAlignment="0" applyProtection="0">
      <alignment vertical="top"/>
      <protection locked="0"/>
    </xf>
    <xf numFmtId="0" fontId="102" fillId="0" borderId="0" applyNumberFormat="0" applyFill="0" applyBorder="0" applyAlignment="0" applyProtection="0"/>
    <xf numFmtId="10" fontId="49" fillId="71" borderId="5" applyNumberFormat="0" applyBorder="0" applyAlignment="0" applyProtection="0"/>
    <xf numFmtId="10" fontId="49" fillId="71" borderId="5" applyNumberFormat="0" applyBorder="0" applyAlignment="0" applyProtection="0"/>
    <xf numFmtId="10" fontId="49" fillId="71" borderId="5" applyNumberFormat="0" applyBorder="0" applyAlignment="0" applyProtection="0"/>
    <xf numFmtId="10" fontId="49" fillId="71" borderId="5" applyNumberFormat="0" applyBorder="0" applyAlignment="0" applyProtection="0"/>
    <xf numFmtId="10" fontId="49" fillId="4" borderId="5" applyNumberFormat="0" applyBorder="0" applyAlignment="0" applyProtection="0"/>
    <xf numFmtId="0" fontId="191" fillId="45" borderId="15" applyNumberFormat="0" applyAlignment="0" applyProtection="0"/>
    <xf numFmtId="0" fontId="191" fillId="45" borderId="15" applyNumberFormat="0" applyAlignment="0" applyProtection="0"/>
    <xf numFmtId="0" fontId="191" fillId="45" borderId="15" applyNumberFormat="0" applyAlignment="0" applyProtection="0"/>
    <xf numFmtId="0" fontId="191" fillId="45" borderId="15" applyNumberFormat="0" applyAlignment="0" applyProtection="0"/>
    <xf numFmtId="0" fontId="191" fillId="45" borderId="15" applyNumberFormat="0" applyAlignment="0" applyProtection="0"/>
    <xf numFmtId="0" fontId="191" fillId="45" borderId="15" applyNumberFormat="0" applyAlignment="0" applyProtection="0"/>
    <xf numFmtId="0" fontId="191" fillId="45" borderId="15" applyNumberFormat="0" applyAlignment="0" applyProtection="0"/>
    <xf numFmtId="0" fontId="191" fillId="45" borderId="15" applyNumberFormat="0" applyAlignment="0" applyProtection="0"/>
    <xf numFmtId="0" fontId="191" fillId="45" borderId="15" applyNumberFormat="0" applyAlignment="0" applyProtection="0"/>
    <xf numFmtId="0" fontId="191" fillId="45" borderId="15" applyNumberFormat="0" applyAlignment="0" applyProtection="0"/>
    <xf numFmtId="0" fontId="192" fillId="45" borderId="15" applyNumberFormat="0" applyAlignment="0" applyProtection="0"/>
    <xf numFmtId="0" fontId="105" fillId="45" borderId="29" applyNumberFormat="0" applyAlignment="0" applyProtection="0"/>
    <xf numFmtId="0" fontId="105" fillId="45" borderId="15" applyNumberFormat="0" applyAlignment="0" applyProtection="0"/>
    <xf numFmtId="0" fontId="191" fillId="45" borderId="15" applyNumberFormat="0" applyAlignment="0" applyProtection="0"/>
    <xf numFmtId="0" fontId="192" fillId="45" borderId="15" applyNumberFormat="0" applyAlignment="0" applyProtection="0"/>
    <xf numFmtId="0" fontId="105" fillId="45" borderId="15" applyNumberFormat="0" applyAlignment="0" applyProtection="0"/>
    <xf numFmtId="0" fontId="105" fillId="45" borderId="29" applyNumberFormat="0" applyAlignment="0" applyProtection="0"/>
    <xf numFmtId="0" fontId="105" fillId="45" borderId="29" applyNumberFormat="0" applyAlignment="0" applyProtection="0"/>
    <xf numFmtId="0" fontId="191" fillId="45" borderId="15" applyNumberFormat="0" applyAlignment="0" applyProtection="0"/>
    <xf numFmtId="0" fontId="191" fillId="45" borderId="15" applyNumberFormat="0" applyAlignment="0" applyProtection="0"/>
    <xf numFmtId="0" fontId="191" fillId="45" borderId="15" applyNumberFormat="0" applyAlignment="0" applyProtection="0"/>
    <xf numFmtId="0" fontId="191" fillId="45" borderId="15" applyNumberFormat="0" applyAlignment="0" applyProtection="0"/>
    <xf numFmtId="0" fontId="191" fillId="45" borderId="15" applyNumberFormat="0" applyAlignment="0" applyProtection="0"/>
    <xf numFmtId="0" fontId="191" fillId="45" borderId="15" applyNumberFormat="0" applyAlignment="0" applyProtection="0"/>
    <xf numFmtId="0" fontId="191" fillId="45" borderId="15" applyNumberFormat="0" applyAlignment="0" applyProtection="0"/>
    <xf numFmtId="0" fontId="191" fillId="45" borderId="15" applyNumberFormat="0" applyAlignment="0" applyProtection="0"/>
    <xf numFmtId="0" fontId="103" fillId="12" borderId="9" applyNumberFormat="0" applyAlignment="0" applyProtection="0"/>
    <xf numFmtId="0" fontId="191" fillId="45" borderId="15" applyNumberFormat="0" applyAlignment="0" applyProtection="0"/>
    <xf numFmtId="0" fontId="103" fillId="12" borderId="9" applyNumberFormat="0" applyAlignment="0" applyProtection="0"/>
    <xf numFmtId="0" fontId="191" fillId="45" borderId="15" applyNumberFormat="0" applyAlignment="0" applyProtection="0"/>
    <xf numFmtId="0" fontId="103" fillId="12" borderId="9" applyNumberFormat="0" applyAlignment="0" applyProtection="0"/>
    <xf numFmtId="0" fontId="105" fillId="45" borderId="15" applyNumberFormat="0" applyAlignment="0" applyProtection="0"/>
    <xf numFmtId="0" fontId="191" fillId="45" borderId="15" applyNumberFormat="0" applyAlignment="0" applyProtection="0"/>
    <xf numFmtId="0" fontId="191" fillId="45" borderId="15" applyNumberFormat="0" applyAlignment="0" applyProtection="0"/>
    <xf numFmtId="0" fontId="191" fillId="45" borderId="15" applyNumberFormat="0" applyAlignment="0" applyProtection="0"/>
    <xf numFmtId="0" fontId="191" fillId="45" borderId="15" applyNumberFormat="0" applyAlignment="0" applyProtection="0"/>
    <xf numFmtId="0" fontId="191" fillId="45" borderId="15" applyNumberFormat="0" applyAlignment="0" applyProtection="0"/>
    <xf numFmtId="0" fontId="105" fillId="45" borderId="15" applyNumberFormat="0" applyAlignment="0" applyProtection="0"/>
    <xf numFmtId="0" fontId="191" fillId="45" borderId="15" applyNumberFormat="0" applyAlignment="0" applyProtection="0"/>
    <xf numFmtId="0" fontId="105" fillId="45" borderId="15" applyNumberFormat="0" applyAlignment="0" applyProtection="0"/>
    <xf numFmtId="0" fontId="191" fillId="45" borderId="15" applyNumberFormat="0" applyAlignment="0" applyProtection="0"/>
    <xf numFmtId="0" fontId="105" fillId="45" borderId="15" applyNumberFormat="0" applyAlignment="0" applyProtection="0"/>
    <xf numFmtId="0" fontId="191" fillId="45" borderId="15" applyNumberFormat="0" applyAlignment="0" applyProtection="0"/>
    <xf numFmtId="0" fontId="105" fillId="45" borderId="15" applyNumberFormat="0" applyAlignment="0" applyProtection="0"/>
    <xf numFmtId="0" fontId="191" fillId="45" borderId="15" applyNumberFormat="0" applyAlignment="0" applyProtection="0"/>
    <xf numFmtId="0" fontId="192" fillId="45" borderId="15" applyNumberFormat="0" applyAlignment="0" applyProtection="0"/>
    <xf numFmtId="0" fontId="191" fillId="45" borderId="15" applyNumberFormat="0" applyAlignment="0" applyProtection="0"/>
    <xf numFmtId="0" fontId="103" fillId="12" borderId="9" applyNumberFormat="0" applyAlignment="0" applyProtection="0"/>
    <xf numFmtId="41" fontId="56" fillId="72" borderId="35">
      <alignment horizontal="left"/>
      <protection locked="0"/>
    </xf>
    <xf numFmtId="0" fontId="49" fillId="3" borderId="0"/>
    <xf numFmtId="0" fontId="193" fillId="0" borderId="20" applyNumberFormat="0" applyFill="0" applyAlignment="0" applyProtection="0"/>
    <xf numFmtId="0" fontId="107" fillId="0" borderId="20" applyNumberFormat="0" applyFill="0" applyAlignment="0" applyProtection="0"/>
    <xf numFmtId="0" fontId="193" fillId="0" borderId="20" applyNumberFormat="0" applyFill="0" applyAlignment="0" applyProtection="0"/>
    <xf numFmtId="0" fontId="194" fillId="0" borderId="20" applyNumberFormat="0" applyFill="0" applyAlignment="0" applyProtection="0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0" fontId="193" fillId="0" borderId="20" applyNumberFormat="0" applyFill="0" applyAlignment="0" applyProtection="0"/>
    <xf numFmtId="0" fontId="139" fillId="0" borderId="11" applyNumberFormat="0" applyFill="0" applyAlignment="0" applyProtection="0"/>
    <xf numFmtId="0" fontId="194" fillId="0" borderId="20" applyNumberFormat="0" applyFill="0" applyAlignment="0" applyProtection="0"/>
    <xf numFmtId="0" fontId="107" fillId="0" borderId="20" applyNumberFormat="0" applyFill="0" applyAlignment="0" applyProtection="0"/>
    <xf numFmtId="0" fontId="194" fillId="0" borderId="20" applyNumberFormat="0" applyFill="0" applyAlignment="0" applyProtection="0"/>
    <xf numFmtId="0" fontId="139" fillId="0" borderId="11" applyNumberFormat="0" applyFill="0" applyAlignment="0" applyProtection="0"/>
    <xf numFmtId="44" fontId="57" fillId="0" borderId="36" applyNumberFormat="0" applyFont="0" applyAlignment="0">
      <alignment horizontal="center"/>
    </xf>
    <xf numFmtId="44" fontId="57" fillId="0" borderId="37" applyNumberFormat="0" applyFont="0" applyAlignment="0">
      <alignment horizontal="center"/>
    </xf>
    <xf numFmtId="0" fontId="159" fillId="0" borderId="0" applyFont="0" applyFill="0" applyBorder="0" applyAlignment="0" applyProtection="0">
      <alignment horizontal="right"/>
    </xf>
    <xf numFmtId="0" fontId="195" fillId="60" borderId="0" applyNumberFormat="0" applyBorder="0" applyAlignment="0" applyProtection="0"/>
    <xf numFmtId="0" fontId="110" fillId="60" borderId="0" applyNumberFormat="0" applyBorder="0" applyAlignment="0" applyProtection="0"/>
    <xf numFmtId="0" fontId="195" fillId="60" borderId="0" applyNumberFormat="0" applyBorder="0" applyAlignment="0" applyProtection="0"/>
    <xf numFmtId="0" fontId="196" fillId="60" borderId="0" applyNumberFormat="0" applyBorder="0" applyAlignment="0" applyProtection="0"/>
    <xf numFmtId="0" fontId="110" fillId="60" borderId="0" applyNumberFormat="0" applyBorder="0" applyAlignment="0" applyProtection="0"/>
    <xf numFmtId="0" fontId="110" fillId="60" borderId="0" applyNumberFormat="0" applyBorder="0" applyAlignment="0" applyProtection="0"/>
    <xf numFmtId="0" fontId="195" fillId="60" borderId="0" applyNumberFormat="0" applyBorder="0" applyAlignment="0" applyProtection="0"/>
    <xf numFmtId="0" fontId="195" fillId="60" borderId="0" applyNumberFormat="0" applyBorder="0" applyAlignment="0" applyProtection="0"/>
    <xf numFmtId="0" fontId="126" fillId="11" borderId="0" applyNumberFormat="0" applyBorder="0" applyAlignment="0" applyProtection="0"/>
    <xf numFmtId="0" fontId="196" fillId="60" borderId="0" applyNumberFormat="0" applyBorder="0" applyAlignment="0" applyProtection="0"/>
    <xf numFmtId="0" fontId="110" fillId="60" borderId="0" applyNumberFormat="0" applyBorder="0" applyAlignment="0" applyProtection="0"/>
    <xf numFmtId="0" fontId="196" fillId="60" borderId="0" applyNumberFormat="0" applyBorder="0" applyAlignment="0" applyProtection="0"/>
    <xf numFmtId="0" fontId="126" fillId="11" borderId="0" applyNumberFormat="0" applyBorder="0" applyAlignment="0" applyProtection="0"/>
    <xf numFmtId="37" fontId="197" fillId="0" borderId="0"/>
    <xf numFmtId="37" fontId="197" fillId="0" borderId="0"/>
    <xf numFmtId="37" fontId="197" fillId="0" borderId="0"/>
    <xf numFmtId="194" fontId="66" fillId="0" borderId="0"/>
    <xf numFmtId="194" fontId="66" fillId="0" borderId="0"/>
    <xf numFmtId="195" fontId="19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5" fillId="0" borderId="0"/>
    <xf numFmtId="0" fontId="38" fillId="0" borderId="0"/>
    <xf numFmtId="0" fontId="45" fillId="0" borderId="0"/>
    <xf numFmtId="0" fontId="38" fillId="0" borderId="0"/>
    <xf numFmtId="0" fontId="60" fillId="0" borderId="0"/>
    <xf numFmtId="0" fontId="60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60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67" fillId="0" borderId="0"/>
    <xf numFmtId="0" fontId="38" fillId="0" borderId="0"/>
    <xf numFmtId="0" fontId="38" fillId="0" borderId="0"/>
    <xf numFmtId="0" fontId="67" fillId="0" borderId="0"/>
    <xf numFmtId="0" fontId="60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60" fillId="0" borderId="0"/>
    <xf numFmtId="0" fontId="67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60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60" fillId="0" borderId="0"/>
    <xf numFmtId="0" fontId="60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60" fillId="0" borderId="0"/>
    <xf numFmtId="0" fontId="60" fillId="0" borderId="0"/>
    <xf numFmtId="0" fontId="38" fillId="0" borderId="0"/>
    <xf numFmtId="0" fontId="38" fillId="0" borderId="0"/>
    <xf numFmtId="0" fontId="45" fillId="0" borderId="0"/>
    <xf numFmtId="0" fontId="3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66" fillId="0" borderId="0"/>
    <xf numFmtId="0" fontId="60" fillId="0" borderId="0"/>
    <xf numFmtId="0" fontId="60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6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0" borderId="0"/>
    <xf numFmtId="0" fontId="67" fillId="0" borderId="0"/>
    <xf numFmtId="0" fontId="67" fillId="0" borderId="0"/>
    <xf numFmtId="0" fontId="45" fillId="0" borderId="0"/>
    <xf numFmtId="0" fontId="45" fillId="0" borderId="0"/>
    <xf numFmtId="0" fontId="67" fillId="0" borderId="0"/>
    <xf numFmtId="0" fontId="67" fillId="0" borderId="0"/>
    <xf numFmtId="0" fontId="38" fillId="0" borderId="0"/>
    <xf numFmtId="0" fontId="67" fillId="0" borderId="0"/>
    <xf numFmtId="0" fontId="67" fillId="0" borderId="0"/>
    <xf numFmtId="0" fontId="38" fillId="0" borderId="0"/>
    <xf numFmtId="0" fontId="67" fillId="0" borderId="0"/>
    <xf numFmtId="0" fontId="67" fillId="0" borderId="0"/>
    <xf numFmtId="0" fontId="38" fillId="0" borderId="0"/>
    <xf numFmtId="0" fontId="45" fillId="0" borderId="0"/>
    <xf numFmtId="0" fontId="67" fillId="0" borderId="0"/>
    <xf numFmtId="0" fontId="67" fillId="0" borderId="0"/>
    <xf numFmtId="0" fontId="3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5" fillId="0" borderId="0"/>
    <xf numFmtId="0" fontId="38" fillId="0" borderId="0"/>
    <xf numFmtId="0" fontId="38" fillId="0" borderId="0"/>
    <xf numFmtId="0" fontId="3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67" fillId="0" borderId="0"/>
    <xf numFmtId="0" fontId="67" fillId="0" borderId="0"/>
    <xf numFmtId="0" fontId="38" fillId="0" borderId="0"/>
    <xf numFmtId="0" fontId="60" fillId="0" borderId="0"/>
    <xf numFmtId="0" fontId="45" fillId="0" borderId="0"/>
    <xf numFmtId="0" fontId="45" fillId="0" borderId="0"/>
    <xf numFmtId="0" fontId="45" fillId="0" borderId="0"/>
    <xf numFmtId="0" fontId="67" fillId="0" borderId="0"/>
    <xf numFmtId="0" fontId="38" fillId="0" borderId="0"/>
    <xf numFmtId="0" fontId="38" fillId="0" borderId="0"/>
    <xf numFmtId="0" fontId="67" fillId="0" borderId="0"/>
    <xf numFmtId="0" fontId="38" fillId="0" borderId="0"/>
    <xf numFmtId="0" fontId="38" fillId="0" borderId="0"/>
    <xf numFmtId="0" fontId="67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5" fillId="0" borderId="0"/>
    <xf numFmtId="0" fontId="38" fillId="0" borderId="0"/>
    <xf numFmtId="0" fontId="38" fillId="0" borderId="0"/>
    <xf numFmtId="0" fontId="67" fillId="0" borderId="0"/>
    <xf numFmtId="0" fontId="3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0" borderId="0"/>
    <xf numFmtId="0" fontId="45" fillId="0" borderId="0"/>
    <xf numFmtId="0" fontId="3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5" fillId="0" borderId="0"/>
    <xf numFmtId="0" fontId="3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5" fillId="0" borderId="0"/>
    <xf numFmtId="0" fontId="38" fillId="0" borderId="0"/>
    <xf numFmtId="0" fontId="38" fillId="0" borderId="0"/>
    <xf numFmtId="0" fontId="3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60" fillId="0" borderId="0"/>
    <xf numFmtId="0" fontId="60" fillId="0" borderId="0"/>
    <xf numFmtId="0" fontId="45" fillId="0" borderId="0"/>
    <xf numFmtId="0" fontId="60" fillId="0" borderId="0"/>
    <xf numFmtId="0" fontId="60" fillId="0" borderId="0"/>
    <xf numFmtId="0" fontId="45" fillId="0" borderId="0"/>
    <xf numFmtId="0" fontId="3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0" borderId="0"/>
    <xf numFmtId="0" fontId="38" fillId="0" borderId="0"/>
    <xf numFmtId="0" fontId="38" fillId="0" borderId="0"/>
    <xf numFmtId="0" fontId="60" fillId="0" borderId="0"/>
    <xf numFmtId="0" fontId="45" fillId="0" borderId="0"/>
    <xf numFmtId="0" fontId="38" fillId="0" borderId="0"/>
    <xf numFmtId="0" fontId="60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165" fillId="0" borderId="0"/>
    <xf numFmtId="0" fontId="67" fillId="0" borderId="0"/>
    <xf numFmtId="0" fontId="38" fillId="0" borderId="0"/>
    <xf numFmtId="0" fontId="70" fillId="0" borderId="0"/>
    <xf numFmtId="0" fontId="38" fillId="0" borderId="0"/>
    <xf numFmtId="0" fontId="38" fillId="0" borderId="0"/>
    <xf numFmtId="0" fontId="38" fillId="0" borderId="0"/>
    <xf numFmtId="0" fontId="60" fillId="0" borderId="0"/>
    <xf numFmtId="0" fontId="45" fillId="0" borderId="0"/>
    <xf numFmtId="0" fontId="38" fillId="0" borderId="0"/>
    <xf numFmtId="0" fontId="60" fillId="0" borderId="0"/>
    <xf numFmtId="0" fontId="165" fillId="0" borderId="0"/>
    <xf numFmtId="0" fontId="165" fillId="0" borderId="0"/>
    <xf numFmtId="0" fontId="165" fillId="0" borderId="0"/>
    <xf numFmtId="0" fontId="165" fillId="0" borderId="0"/>
    <xf numFmtId="0" fontId="165" fillId="0" borderId="0"/>
    <xf numFmtId="0" fontId="165" fillId="0" borderId="0"/>
    <xf numFmtId="0" fontId="165" fillId="0" borderId="0"/>
    <xf numFmtId="0" fontId="165" fillId="0" borderId="0"/>
    <xf numFmtId="0" fontId="165" fillId="0" borderId="0"/>
    <xf numFmtId="0" fontId="165" fillId="0" borderId="0"/>
    <xf numFmtId="0" fontId="38" fillId="0" borderId="0"/>
    <xf numFmtId="0" fontId="38" fillId="0" borderId="0"/>
    <xf numFmtId="0" fontId="38" fillId="0" borderId="0"/>
    <xf numFmtId="0" fontId="4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5" fillId="0" borderId="0"/>
    <xf numFmtId="0" fontId="45" fillId="0" borderId="0"/>
    <xf numFmtId="0" fontId="38" fillId="0" borderId="0"/>
    <xf numFmtId="0" fontId="165" fillId="0" borderId="0"/>
    <xf numFmtId="0" fontId="60" fillId="0" borderId="0"/>
    <xf numFmtId="0" fontId="60" fillId="0" borderId="0"/>
    <xf numFmtId="0" fontId="45" fillId="0" borderId="0"/>
    <xf numFmtId="0" fontId="45" fillId="0" borderId="0"/>
    <xf numFmtId="0" fontId="165" fillId="0" borderId="0"/>
    <xf numFmtId="0" fontId="60" fillId="0" borderId="0"/>
    <xf numFmtId="0" fontId="60" fillId="0" borderId="0"/>
    <xf numFmtId="0" fontId="45" fillId="0" borderId="0"/>
    <xf numFmtId="0" fontId="45" fillId="0" borderId="0"/>
    <xf numFmtId="0" fontId="16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0" borderId="0"/>
    <xf numFmtId="0" fontId="45" fillId="0" borderId="0"/>
    <xf numFmtId="0" fontId="3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60" fillId="0" borderId="0"/>
    <xf numFmtId="0" fontId="60" fillId="0" borderId="0"/>
    <xf numFmtId="0" fontId="45" fillId="0" borderId="0"/>
    <xf numFmtId="0" fontId="66" fillId="0" borderId="0"/>
    <xf numFmtId="0" fontId="131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60" fillId="0" borderId="0"/>
    <xf numFmtId="0" fontId="45" fillId="0" borderId="0"/>
    <xf numFmtId="0" fontId="66" fillId="0" borderId="0"/>
    <xf numFmtId="0" fontId="45" fillId="0" borderId="0"/>
    <xf numFmtId="0" fontId="43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67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60" fillId="0" borderId="0"/>
    <xf numFmtId="0" fontId="70" fillId="0" borderId="0"/>
    <xf numFmtId="0" fontId="38" fillId="0" borderId="0"/>
    <xf numFmtId="0" fontId="67" fillId="0" borderId="0"/>
    <xf numFmtId="0" fontId="45" fillId="0" borderId="0"/>
    <xf numFmtId="0" fontId="45" fillId="0" borderId="0"/>
    <xf numFmtId="0" fontId="38" fillId="0" borderId="0"/>
    <xf numFmtId="0" fontId="45" fillId="0" borderId="0"/>
    <xf numFmtId="0" fontId="45" fillId="0" borderId="0"/>
    <xf numFmtId="0" fontId="70" fillId="0" borderId="0"/>
    <xf numFmtId="0" fontId="60" fillId="0" borderId="0"/>
    <xf numFmtId="0" fontId="45" fillId="0" borderId="0"/>
    <xf numFmtId="0" fontId="165" fillId="0" borderId="0"/>
    <xf numFmtId="0" fontId="45" fillId="0" borderId="0"/>
    <xf numFmtId="0" fontId="165" fillId="0" borderId="0"/>
    <xf numFmtId="0" fontId="45" fillId="0" borderId="0"/>
    <xf numFmtId="0" fontId="165" fillId="0" borderId="0"/>
    <xf numFmtId="0" fontId="45" fillId="0" borderId="0"/>
    <xf numFmtId="0" fontId="165" fillId="0" borderId="0"/>
    <xf numFmtId="0" fontId="45" fillId="0" borderId="0"/>
    <xf numFmtId="0" fontId="165" fillId="0" borderId="0"/>
    <xf numFmtId="0" fontId="45" fillId="0" borderId="0"/>
    <xf numFmtId="0" fontId="165" fillId="0" borderId="0"/>
    <xf numFmtId="0" fontId="45" fillId="0" borderId="0"/>
    <xf numFmtId="0" fontId="38" fillId="0" borderId="0"/>
    <xf numFmtId="0" fontId="45" fillId="0" borderId="0"/>
    <xf numFmtId="0" fontId="38" fillId="0" borderId="0"/>
    <xf numFmtId="0" fontId="165" fillId="0" borderId="0"/>
    <xf numFmtId="0" fontId="45" fillId="0" borderId="0"/>
    <xf numFmtId="0" fontId="165" fillId="0" borderId="0"/>
    <xf numFmtId="0" fontId="67" fillId="0" borderId="0"/>
    <xf numFmtId="0" fontId="67" fillId="0" borderId="0"/>
    <xf numFmtId="0" fontId="67" fillId="0" borderId="0"/>
    <xf numFmtId="0" fontId="38" fillId="0" borderId="0"/>
    <xf numFmtId="0" fontId="67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67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67" fillId="0" borderId="0"/>
    <xf numFmtId="0" fontId="38" fillId="0" borderId="0"/>
    <xf numFmtId="0" fontId="165" fillId="0" borderId="0"/>
    <xf numFmtId="0" fontId="45" fillId="0" borderId="0"/>
    <xf numFmtId="0" fontId="45" fillId="0" borderId="0"/>
    <xf numFmtId="0" fontId="45" fillId="0" borderId="0"/>
    <xf numFmtId="0" fontId="60" fillId="0" borderId="0"/>
    <xf numFmtId="0" fontId="45" fillId="0" borderId="0"/>
    <xf numFmtId="0" fontId="45" fillId="0" borderId="0"/>
    <xf numFmtId="0" fontId="60" fillId="0" borderId="0"/>
    <xf numFmtId="0" fontId="60" fillId="0" borderId="0"/>
    <xf numFmtId="0" fontId="45" fillId="0" borderId="0"/>
    <xf numFmtId="0" fontId="45" fillId="0" borderId="0"/>
    <xf numFmtId="0" fontId="60" fillId="0" borderId="0"/>
    <xf numFmtId="0" fontId="60" fillId="0" borderId="0"/>
    <xf numFmtId="0" fontId="45" fillId="0" borderId="0"/>
    <xf numFmtId="0" fontId="45" fillId="0" borderId="0"/>
    <xf numFmtId="0" fontId="60" fillId="0" borderId="0"/>
    <xf numFmtId="0" fontId="60" fillId="0" borderId="0"/>
    <xf numFmtId="0" fontId="45" fillId="0" borderId="0"/>
    <xf numFmtId="0" fontId="60" fillId="0" borderId="0"/>
    <xf numFmtId="0" fontId="60" fillId="0" borderId="0"/>
    <xf numFmtId="0" fontId="45" fillId="0" borderId="0"/>
    <xf numFmtId="0" fontId="45" fillId="0" borderId="0"/>
    <xf numFmtId="0" fontId="60" fillId="0" borderId="0"/>
    <xf numFmtId="0" fontId="60" fillId="0" borderId="0"/>
    <xf numFmtId="0" fontId="45" fillId="0" borderId="0"/>
    <xf numFmtId="0" fontId="60" fillId="0" borderId="0"/>
    <xf numFmtId="0" fontId="60" fillId="0" borderId="0"/>
    <xf numFmtId="0" fontId="45" fillId="0" borderId="0"/>
    <xf numFmtId="0" fontId="45" fillId="0" borderId="0"/>
    <xf numFmtId="0" fontId="45" fillId="0" borderId="0"/>
    <xf numFmtId="0" fontId="38" fillId="0" borderId="0"/>
    <xf numFmtId="0" fontId="67" fillId="0" borderId="0"/>
    <xf numFmtId="0" fontId="38" fillId="0" borderId="0"/>
    <xf numFmtId="0" fontId="45" fillId="0" borderId="0"/>
    <xf numFmtId="0" fontId="16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60" fillId="0" borderId="0"/>
    <xf numFmtId="0" fontId="67" fillId="0" borderId="0"/>
    <xf numFmtId="0" fontId="38" fillId="0" borderId="0"/>
    <xf numFmtId="0" fontId="67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5" fillId="0" borderId="0"/>
    <xf numFmtId="0" fontId="38" fillId="0" borderId="0"/>
    <xf numFmtId="0" fontId="60" fillId="0" borderId="0"/>
    <xf numFmtId="0" fontId="60" fillId="0" borderId="0"/>
    <xf numFmtId="0" fontId="3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179" fontId="60" fillId="0" borderId="0"/>
    <xf numFmtId="179" fontId="60" fillId="0" borderId="0"/>
    <xf numFmtId="179" fontId="60" fillId="0" borderId="0"/>
    <xf numFmtId="0" fontId="45" fillId="0" borderId="0"/>
    <xf numFmtId="179" fontId="60" fillId="0" borderId="0"/>
    <xf numFmtId="0" fontId="38" fillId="0" borderId="0"/>
    <xf numFmtId="0" fontId="60" fillId="0" borderId="0"/>
    <xf numFmtId="0" fontId="60" fillId="0" borderId="0"/>
    <xf numFmtId="0" fontId="4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60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60" fillId="61" borderId="21" applyNumberFormat="0" applyFont="0" applyAlignment="0" applyProtection="0"/>
    <xf numFmtId="0" fontId="60" fillId="61" borderId="21" applyNumberFormat="0" applyFont="0" applyAlignment="0" applyProtection="0"/>
    <xf numFmtId="0" fontId="60" fillId="61" borderId="21" applyNumberFormat="0" applyFont="0" applyAlignment="0" applyProtection="0"/>
    <xf numFmtId="0" fontId="45" fillId="61" borderId="21" applyNumberFormat="0" applyFont="0" applyAlignment="0" applyProtection="0"/>
    <xf numFmtId="0" fontId="45" fillId="61" borderId="21" applyNumberFormat="0" applyFont="0" applyAlignment="0" applyProtection="0"/>
    <xf numFmtId="0" fontId="60" fillId="61" borderId="21" applyNumberFormat="0" applyFont="0" applyAlignment="0" applyProtection="0"/>
    <xf numFmtId="0" fontId="60" fillId="61" borderId="21" applyNumberFormat="0" applyFont="0" applyAlignment="0" applyProtection="0"/>
    <xf numFmtId="0" fontId="60" fillId="61" borderId="21" applyNumberFormat="0" applyFont="0" applyAlignment="0" applyProtection="0"/>
    <xf numFmtId="0" fontId="60" fillId="61" borderId="21" applyNumberFormat="0" applyFont="0" applyAlignment="0" applyProtection="0"/>
    <xf numFmtId="0" fontId="60" fillId="61" borderId="21" applyNumberFormat="0" applyFont="0" applyAlignment="0" applyProtection="0"/>
    <xf numFmtId="0" fontId="45" fillId="61" borderId="21" applyNumberFormat="0" applyFont="0" applyAlignment="0" applyProtection="0"/>
    <xf numFmtId="0" fontId="45" fillId="61" borderId="21" applyNumberFormat="0" applyFont="0" applyAlignment="0" applyProtection="0"/>
    <xf numFmtId="0" fontId="38" fillId="15" borderId="13" applyNumberFormat="0" applyFont="0" applyAlignment="0" applyProtection="0"/>
    <xf numFmtId="0" fontId="45" fillId="61" borderId="21" applyNumberFormat="0" applyFont="0" applyAlignment="0" applyProtection="0"/>
    <xf numFmtId="0" fontId="45" fillId="61" borderId="21" applyNumberFormat="0" applyFont="0" applyAlignment="0" applyProtection="0"/>
    <xf numFmtId="0" fontId="45" fillId="61" borderId="29" applyNumberFormat="0" applyFont="0" applyAlignment="0" applyProtection="0"/>
    <xf numFmtId="0" fontId="45" fillId="61" borderId="29" applyNumberFormat="0" applyFont="0" applyAlignment="0" applyProtection="0"/>
    <xf numFmtId="0" fontId="67" fillId="61" borderId="21" applyNumberFormat="0" applyFont="0" applyAlignment="0" applyProtection="0"/>
    <xf numFmtId="0" fontId="45" fillId="61" borderId="21" applyNumberFormat="0" applyFont="0" applyAlignment="0" applyProtection="0"/>
    <xf numFmtId="0" fontId="45" fillId="61" borderId="21" applyNumberFormat="0" applyFont="0" applyAlignment="0" applyProtection="0"/>
    <xf numFmtId="0" fontId="70" fillId="61" borderId="21" applyNumberFormat="0" applyFont="0" applyAlignment="0" applyProtection="0"/>
    <xf numFmtId="0" fontId="70" fillId="15" borderId="13" applyNumberFormat="0" applyFont="0" applyAlignment="0" applyProtection="0"/>
    <xf numFmtId="0" fontId="70" fillId="61" borderId="21" applyNumberFormat="0" applyFont="0" applyAlignment="0" applyProtection="0"/>
    <xf numFmtId="0" fontId="45" fillId="61" borderId="21" applyNumberFormat="0" applyFont="0" applyAlignment="0" applyProtection="0"/>
    <xf numFmtId="0" fontId="45" fillId="61" borderId="21" applyNumberFormat="0" applyFont="0" applyAlignment="0" applyProtection="0"/>
    <xf numFmtId="0" fontId="45" fillId="61" borderId="21" applyNumberFormat="0" applyFont="0" applyAlignment="0" applyProtection="0"/>
    <xf numFmtId="0" fontId="45" fillId="61" borderId="21" applyNumberFormat="0" applyFont="0" applyAlignment="0" applyProtection="0"/>
    <xf numFmtId="0" fontId="45" fillId="61" borderId="21" applyNumberFormat="0" applyFont="0" applyAlignment="0" applyProtection="0"/>
    <xf numFmtId="0" fontId="45" fillId="61" borderId="21" applyNumberFormat="0" applyFont="0" applyAlignment="0" applyProtection="0"/>
    <xf numFmtId="0" fontId="45" fillId="61" borderId="21" applyNumberFormat="0" applyFont="0" applyAlignment="0" applyProtection="0"/>
    <xf numFmtId="0" fontId="60" fillId="61" borderId="21" applyNumberFormat="0" applyFont="0" applyAlignment="0" applyProtection="0"/>
    <xf numFmtId="0" fontId="60" fillId="61" borderId="21" applyNumberFormat="0" applyFont="0" applyAlignment="0" applyProtection="0"/>
    <xf numFmtId="0" fontId="60" fillId="61" borderId="21" applyNumberFormat="0" applyFont="0" applyAlignment="0" applyProtection="0"/>
    <xf numFmtId="0" fontId="45" fillId="61" borderId="21" applyNumberFormat="0" applyFont="0" applyAlignment="0" applyProtection="0"/>
    <xf numFmtId="0" fontId="45" fillId="61" borderId="21" applyNumberFormat="0" applyFont="0" applyAlignment="0" applyProtection="0"/>
    <xf numFmtId="0" fontId="60" fillId="61" borderId="21" applyNumberFormat="0" applyFont="0" applyAlignment="0" applyProtection="0"/>
    <xf numFmtId="0" fontId="199" fillId="58" borderId="22" applyNumberFormat="0" applyAlignment="0" applyProtection="0"/>
    <xf numFmtId="0" fontId="113" fillId="48" borderId="22" applyNumberFormat="0" applyAlignment="0" applyProtection="0"/>
    <xf numFmtId="0" fontId="113" fillId="59" borderId="22" applyNumberFormat="0" applyAlignment="0" applyProtection="0"/>
    <xf numFmtId="0" fontId="200" fillId="58" borderId="22" applyNumberFormat="0" applyAlignment="0" applyProtection="0"/>
    <xf numFmtId="0" fontId="199" fillId="58" borderId="22" applyNumberFormat="0" applyAlignment="0" applyProtection="0"/>
    <xf numFmtId="0" fontId="113" fillId="59" borderId="22" applyNumberFormat="0" applyAlignment="0" applyProtection="0"/>
    <xf numFmtId="0" fontId="113" fillId="48" borderId="22" applyNumberFormat="0" applyAlignment="0" applyProtection="0"/>
    <xf numFmtId="0" fontId="113" fillId="48" borderId="22" applyNumberFormat="0" applyAlignment="0" applyProtection="0"/>
    <xf numFmtId="0" fontId="113" fillId="48" borderId="22" applyNumberFormat="0" applyAlignment="0" applyProtection="0"/>
    <xf numFmtId="0" fontId="113" fillId="58" borderId="22" applyNumberFormat="0" applyAlignment="0" applyProtection="0"/>
    <xf numFmtId="0" fontId="113" fillId="48" borderId="22" applyNumberFormat="0" applyAlignment="0" applyProtection="0"/>
    <xf numFmtId="0" fontId="113" fillId="58" borderId="22" applyNumberFormat="0" applyAlignment="0" applyProtection="0"/>
    <xf numFmtId="0" fontId="113" fillId="58" borderId="22" applyNumberFormat="0" applyAlignment="0" applyProtection="0"/>
    <xf numFmtId="0" fontId="113" fillId="58" borderId="22" applyNumberFormat="0" applyAlignment="0" applyProtection="0"/>
    <xf numFmtId="0" fontId="199" fillId="58" borderId="22" applyNumberFormat="0" applyAlignment="0" applyProtection="0"/>
    <xf numFmtId="0" fontId="113" fillId="58" borderId="22" applyNumberFormat="0" applyAlignment="0" applyProtection="0"/>
    <xf numFmtId="0" fontId="113" fillId="58" borderId="22" applyNumberFormat="0" applyAlignment="0" applyProtection="0"/>
    <xf numFmtId="0" fontId="113" fillId="58" borderId="22" applyNumberFormat="0" applyAlignment="0" applyProtection="0"/>
    <xf numFmtId="0" fontId="137" fillId="13" borderId="10" applyNumberFormat="0" applyAlignment="0" applyProtection="0"/>
    <xf numFmtId="0" fontId="200" fillId="58" borderId="22" applyNumberFormat="0" applyAlignment="0" applyProtection="0"/>
    <xf numFmtId="0" fontId="200" fillId="58" borderId="22" applyNumberFormat="0" applyAlignment="0" applyProtection="0"/>
    <xf numFmtId="0" fontId="200" fillId="58" borderId="22" applyNumberFormat="0" applyAlignment="0" applyProtection="0"/>
    <xf numFmtId="0" fontId="200" fillId="58" borderId="22" applyNumberFormat="0" applyAlignment="0" applyProtection="0"/>
    <xf numFmtId="0" fontId="113" fillId="58" borderId="22" applyNumberFormat="0" applyAlignment="0" applyProtection="0"/>
    <xf numFmtId="0" fontId="113" fillId="58" borderId="22" applyNumberFormat="0" applyAlignment="0" applyProtection="0"/>
    <xf numFmtId="0" fontId="200" fillId="58" borderId="22" applyNumberFormat="0" applyAlignment="0" applyProtection="0"/>
    <xf numFmtId="0" fontId="137" fillId="13" borderId="10" applyNumberFormat="0" applyAlignment="0" applyProtection="0"/>
    <xf numFmtId="1" fontId="201" fillId="0" borderId="0" applyProtection="0">
      <alignment horizontal="right" vertical="center"/>
    </xf>
    <xf numFmtId="0" fontId="162" fillId="0" borderId="0"/>
    <xf numFmtId="10" fontId="45" fillId="0" borderId="0" applyFont="0" applyFill="0" applyBorder="0" applyAlignment="0" applyProtection="0"/>
    <xf numFmtId="10" fontId="45" fillId="0" borderId="0" applyFont="0" applyFill="0" applyBorder="0" applyAlignment="0" applyProtection="0"/>
    <xf numFmtId="10" fontId="45" fillId="0" borderId="0" applyFont="0" applyFill="0" applyBorder="0" applyAlignment="0" applyProtection="0"/>
    <xf numFmtId="10" fontId="45" fillId="0" borderId="0" applyFont="0" applyFill="0" applyBorder="0" applyAlignment="0" applyProtection="0"/>
    <xf numFmtId="10" fontId="45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66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6" fillId="0" borderId="0" applyFont="0" applyFill="0" applyBorder="0" applyAlignment="0" applyProtection="0"/>
    <xf numFmtId="9" fontId="66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6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0" fontId="47" fillId="0" borderId="0" applyNumberFormat="0" applyFont="0" applyFill="0" applyBorder="0" applyAlignment="0" applyProtection="0">
      <alignment horizontal="left"/>
    </xf>
    <xf numFmtId="0" fontId="47" fillId="0" borderId="0" applyNumberFormat="0" applyFont="0" applyFill="0" applyBorder="0" applyAlignment="0" applyProtection="0">
      <alignment horizontal="left"/>
    </xf>
    <xf numFmtId="0" fontId="47" fillId="0" borderId="0" applyNumberFormat="0" applyFont="0" applyFill="0" applyBorder="0" applyAlignment="0" applyProtection="0">
      <alignment horizontal="left"/>
    </xf>
    <xf numFmtId="0" fontId="47" fillId="0" borderId="0" applyNumberFormat="0" applyFont="0" applyFill="0" applyBorder="0" applyAlignment="0" applyProtection="0">
      <alignment horizontal="left"/>
    </xf>
    <xf numFmtId="0" fontId="47" fillId="0" borderId="0" applyNumberFormat="0" applyFont="0" applyFill="0" applyBorder="0" applyAlignment="0" applyProtection="0">
      <alignment horizontal="left"/>
    </xf>
    <xf numFmtId="0" fontId="47" fillId="0" borderId="0" applyNumberFormat="0" applyFont="0" applyFill="0" applyBorder="0" applyAlignment="0" applyProtection="0">
      <alignment horizontal="left"/>
    </xf>
    <xf numFmtId="0" fontId="47" fillId="0" borderId="0" applyNumberFormat="0" applyFont="0" applyFill="0" applyBorder="0" applyAlignment="0" applyProtection="0">
      <alignment horizontal="left"/>
    </xf>
    <xf numFmtId="0" fontId="47" fillId="0" borderId="0" applyNumberFormat="0" applyFont="0" applyFill="0" applyBorder="0" applyAlignment="0" applyProtection="0">
      <alignment horizontal="left"/>
    </xf>
    <xf numFmtId="0" fontId="47" fillId="0" borderId="0" applyNumberFormat="0" applyFont="0" applyFill="0" applyBorder="0" applyAlignment="0" applyProtection="0">
      <alignment horizontal="left"/>
    </xf>
    <xf numFmtId="0" fontId="47" fillId="0" borderId="0" applyNumberFormat="0" applyFont="0" applyFill="0" applyBorder="0" applyAlignment="0" applyProtection="0">
      <alignment horizontal="left"/>
    </xf>
    <xf numFmtId="0" fontId="47" fillId="0" borderId="0" applyNumberFormat="0" applyFont="0" applyFill="0" applyBorder="0" applyAlignment="0" applyProtection="0">
      <alignment horizontal="left"/>
    </xf>
    <xf numFmtId="0" fontId="47" fillId="0" borderId="0" applyNumberFormat="0" applyFont="0" applyFill="0" applyBorder="0" applyAlignment="0" applyProtection="0">
      <alignment horizontal="left"/>
    </xf>
    <xf numFmtId="0" fontId="47" fillId="0" borderId="0" applyNumberFormat="0" applyFont="0" applyFill="0" applyBorder="0" applyAlignment="0" applyProtection="0">
      <alignment horizontal="left"/>
    </xf>
    <xf numFmtId="15" fontId="47" fillId="0" borderId="0" applyFont="0" applyFill="0" applyBorder="0" applyAlignment="0" applyProtection="0"/>
    <xf numFmtId="15" fontId="47" fillId="0" borderId="0" applyFont="0" applyFill="0" applyBorder="0" applyAlignment="0" applyProtection="0"/>
    <xf numFmtId="15" fontId="47" fillId="0" borderId="0" applyFont="0" applyFill="0" applyBorder="0" applyAlignment="0" applyProtection="0"/>
    <xf numFmtId="15" fontId="47" fillId="0" borderId="0" applyFont="0" applyFill="0" applyBorder="0" applyAlignment="0" applyProtection="0"/>
    <xf numFmtId="15" fontId="47" fillId="0" borderId="0" applyFont="0" applyFill="0" applyBorder="0" applyAlignment="0" applyProtection="0"/>
    <xf numFmtId="15" fontId="47" fillId="0" borderId="0" applyFont="0" applyFill="0" applyBorder="0" applyAlignment="0" applyProtection="0"/>
    <xf numFmtId="15" fontId="47" fillId="0" borderId="0" applyFont="0" applyFill="0" applyBorder="0" applyAlignment="0" applyProtection="0"/>
    <xf numFmtId="15" fontId="47" fillId="0" borderId="0" applyFont="0" applyFill="0" applyBorder="0" applyAlignment="0" applyProtection="0"/>
    <xf numFmtId="15" fontId="47" fillId="0" borderId="0" applyFont="0" applyFill="0" applyBorder="0" applyAlignment="0" applyProtection="0"/>
    <xf numFmtId="15" fontId="47" fillId="0" borderId="0" applyFont="0" applyFill="0" applyBorder="0" applyAlignment="0" applyProtection="0"/>
    <xf numFmtId="15" fontId="47" fillId="0" borderId="0" applyFont="0" applyFill="0" applyBorder="0" applyAlignment="0" applyProtection="0"/>
    <xf numFmtId="15" fontId="47" fillId="0" borderId="0" applyFont="0" applyFill="0" applyBorder="0" applyAlignment="0" applyProtection="0"/>
    <xf numFmtId="15" fontId="47" fillId="0" borderId="0" applyFont="0" applyFill="0" applyBorder="0" applyAlignment="0" applyProtection="0"/>
    <xf numFmtId="4" fontId="47" fillId="0" borderId="0" applyFont="0" applyFill="0" applyBorder="0" applyAlignment="0" applyProtection="0"/>
    <xf numFmtId="4" fontId="47" fillId="0" borderId="0" applyFont="0" applyFill="0" applyBorder="0" applyAlignment="0" applyProtection="0"/>
    <xf numFmtId="4" fontId="47" fillId="0" borderId="0" applyFont="0" applyFill="0" applyBorder="0" applyAlignment="0" applyProtection="0"/>
    <xf numFmtId="4" fontId="47" fillId="0" borderId="0" applyFont="0" applyFill="0" applyBorder="0" applyAlignment="0" applyProtection="0"/>
    <xf numFmtId="4" fontId="47" fillId="0" borderId="0" applyFont="0" applyFill="0" applyBorder="0" applyAlignment="0" applyProtection="0"/>
    <xf numFmtId="4" fontId="47" fillId="0" borderId="0" applyFont="0" applyFill="0" applyBorder="0" applyAlignment="0" applyProtection="0"/>
    <xf numFmtId="4" fontId="47" fillId="0" borderId="0" applyFont="0" applyFill="0" applyBorder="0" applyAlignment="0" applyProtection="0"/>
    <xf numFmtId="4" fontId="47" fillId="0" borderId="0" applyFont="0" applyFill="0" applyBorder="0" applyAlignment="0" applyProtection="0"/>
    <xf numFmtId="4" fontId="47" fillId="0" borderId="0" applyFont="0" applyFill="0" applyBorder="0" applyAlignment="0" applyProtection="0"/>
    <xf numFmtId="4" fontId="47" fillId="0" borderId="0" applyFont="0" applyFill="0" applyBorder="0" applyAlignment="0" applyProtection="0"/>
    <xf numFmtId="4" fontId="47" fillId="0" borderId="0" applyFont="0" applyFill="0" applyBorder="0" applyAlignment="0" applyProtection="0"/>
    <xf numFmtId="4" fontId="47" fillId="0" borderId="0" applyFont="0" applyFill="0" applyBorder="0" applyAlignment="0" applyProtection="0"/>
    <xf numFmtId="4" fontId="47" fillId="0" borderId="0" applyFont="0" applyFill="0" applyBorder="0" applyAlignment="0" applyProtection="0"/>
    <xf numFmtId="0" fontId="48" fillId="0" borderId="1">
      <alignment horizontal="center"/>
    </xf>
    <xf numFmtId="0" fontId="48" fillId="0" borderId="1">
      <alignment horizontal="center"/>
    </xf>
    <xf numFmtId="0" fontId="48" fillId="0" borderId="1">
      <alignment horizontal="center"/>
    </xf>
    <xf numFmtId="0" fontId="48" fillId="0" borderId="1">
      <alignment horizontal="center"/>
    </xf>
    <xf numFmtId="0" fontId="48" fillId="0" borderId="1">
      <alignment horizontal="center"/>
    </xf>
    <xf numFmtId="0" fontId="48" fillId="0" borderId="1">
      <alignment horizontal="center"/>
    </xf>
    <xf numFmtId="0" fontId="48" fillId="0" borderId="1">
      <alignment horizontal="center"/>
    </xf>
    <xf numFmtId="0" fontId="48" fillId="0" borderId="1">
      <alignment horizontal="center"/>
    </xf>
    <xf numFmtId="0" fontId="48" fillId="0" borderId="1">
      <alignment horizontal="center"/>
    </xf>
    <xf numFmtId="0" fontId="48" fillId="0" borderId="1">
      <alignment horizontal="center"/>
    </xf>
    <xf numFmtId="0" fontId="48" fillId="0" borderId="1">
      <alignment horizontal="center"/>
    </xf>
    <xf numFmtId="0" fontId="48" fillId="0" borderId="1">
      <alignment horizontal="center"/>
    </xf>
    <xf numFmtId="0" fontId="48" fillId="0" borderId="1">
      <alignment horizontal="center"/>
    </xf>
    <xf numFmtId="0" fontId="48" fillId="0" borderId="1">
      <alignment horizontal="center"/>
    </xf>
    <xf numFmtId="0" fontId="48" fillId="0" borderId="1">
      <alignment horizontal="center"/>
    </xf>
    <xf numFmtId="0" fontId="48" fillId="0" borderId="1">
      <alignment horizontal="center"/>
    </xf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0" fontId="47" fillId="2" borderId="0" applyNumberFormat="0" applyFont="0" applyBorder="0" applyAlignment="0" applyProtection="0"/>
    <xf numFmtId="0" fontId="47" fillId="2" borderId="0" applyNumberFormat="0" applyFont="0" applyBorder="0" applyAlignment="0" applyProtection="0"/>
    <xf numFmtId="0" fontId="47" fillId="2" borderId="0" applyNumberFormat="0" applyFont="0" applyBorder="0" applyAlignment="0" applyProtection="0"/>
    <xf numFmtId="0" fontId="47" fillId="2" borderId="0" applyNumberFormat="0" applyFont="0" applyBorder="0" applyAlignment="0" applyProtection="0"/>
    <xf numFmtId="0" fontId="47" fillId="2" borderId="0" applyNumberFormat="0" applyFont="0" applyBorder="0" applyAlignment="0" applyProtection="0"/>
    <xf numFmtId="0" fontId="47" fillId="2" borderId="0" applyNumberFormat="0" applyFont="0" applyBorder="0" applyAlignment="0" applyProtection="0"/>
    <xf numFmtId="0" fontId="47" fillId="2" borderId="0" applyNumberFormat="0" applyFont="0" applyBorder="0" applyAlignment="0" applyProtection="0"/>
    <xf numFmtId="0" fontId="47" fillId="2" borderId="0" applyNumberFormat="0" applyFont="0" applyBorder="0" applyAlignment="0" applyProtection="0"/>
    <xf numFmtId="0" fontId="47" fillId="2" borderId="0" applyNumberFormat="0" applyFont="0" applyBorder="0" applyAlignment="0" applyProtection="0"/>
    <xf numFmtId="0" fontId="47" fillId="2" borderId="0" applyNumberFormat="0" applyFont="0" applyBorder="0" applyAlignment="0" applyProtection="0"/>
    <xf numFmtId="0" fontId="47" fillId="2" borderId="0" applyNumberFormat="0" applyFont="0" applyBorder="0" applyAlignment="0" applyProtection="0"/>
    <xf numFmtId="0" fontId="47" fillId="2" borderId="0" applyNumberFormat="0" applyFont="0" applyBorder="0" applyAlignment="0" applyProtection="0"/>
    <xf numFmtId="0" fontId="47" fillId="2" borderId="0" applyNumberFormat="0" applyFont="0" applyBorder="0" applyAlignment="0" applyProtection="0"/>
    <xf numFmtId="196" fontId="172" fillId="0" borderId="38" applyFont="0" applyFill="0" applyBorder="0" applyAlignment="0" applyProtection="0"/>
    <xf numFmtId="196" fontId="172" fillId="0" borderId="38" applyFont="0" applyFill="0" applyBorder="0" applyAlignment="0" applyProtection="0"/>
    <xf numFmtId="196" fontId="172" fillId="0" borderId="38" applyFont="0" applyFill="0" applyBorder="0" applyAlignment="0" applyProtection="0"/>
    <xf numFmtId="196" fontId="172" fillId="0" borderId="38" applyFont="0" applyFill="0" applyBorder="0" applyAlignment="0" applyProtection="0"/>
    <xf numFmtId="196" fontId="172" fillId="0" borderId="38" applyFont="0" applyFill="0" applyBorder="0" applyAlignment="0" applyProtection="0"/>
    <xf numFmtId="196" fontId="172" fillId="0" borderId="38" applyFont="0" applyFill="0" applyBorder="0" applyAlignment="0" applyProtection="0"/>
    <xf numFmtId="196" fontId="172" fillId="0" borderId="38" applyFont="0" applyFill="0" applyBorder="0" applyAlignment="0" applyProtection="0"/>
    <xf numFmtId="196" fontId="172" fillId="0" borderId="38" applyFont="0" applyFill="0" applyBorder="0" applyAlignment="0" applyProtection="0"/>
    <xf numFmtId="0" fontId="202" fillId="0" borderId="0" applyNumberFormat="0" applyFill="0" applyBorder="0" applyAlignment="0" applyProtection="0"/>
    <xf numFmtId="14" fontId="203" fillId="0" borderId="0" applyNumberFormat="0" applyFill="0" applyBorder="0" applyAlignment="0" applyProtection="0">
      <alignment horizontal="left"/>
    </xf>
    <xf numFmtId="197" fontId="45" fillId="0" borderId="0" applyFont="0" applyFill="0" applyAlignment="0">
      <alignment horizontal="right"/>
    </xf>
    <xf numFmtId="0" fontId="204" fillId="3" borderId="0" applyNumberFormat="0" applyFont="0" applyBorder="0" applyAlignment="0" applyProtection="0"/>
    <xf numFmtId="0" fontId="204" fillId="3" borderId="0" applyNumberFormat="0" applyFont="0" applyBorder="0" applyAlignment="0" applyProtection="0"/>
    <xf numFmtId="0" fontId="204" fillId="3" borderId="0" applyNumberFormat="0" applyFont="0" applyBorder="0" applyAlignment="0" applyProtection="0"/>
    <xf numFmtId="0" fontId="204" fillId="3" borderId="0" applyNumberFormat="0" applyFont="0" applyBorder="0" applyAlignment="0" applyProtection="0"/>
    <xf numFmtId="0" fontId="204" fillId="3" borderId="0" applyNumberFormat="0" applyFont="0" applyBorder="0" applyAlignment="0" applyProtection="0"/>
    <xf numFmtId="0" fontId="204" fillId="3" borderId="0" applyNumberFormat="0" applyFont="0" applyBorder="0" applyAlignment="0" applyProtection="0"/>
    <xf numFmtId="0" fontId="204" fillId="3" borderId="0" applyNumberFormat="0" applyFont="0" applyBorder="0" applyAlignment="0" applyProtection="0"/>
    <xf numFmtId="39" fontId="45" fillId="73" borderId="0"/>
    <xf numFmtId="38" fontId="49" fillId="0" borderId="39"/>
    <xf numFmtId="38" fontId="186" fillId="0" borderId="3"/>
    <xf numFmtId="39" fontId="203" fillId="74" borderId="0"/>
    <xf numFmtId="170" fontId="45" fillId="0" borderId="0">
      <alignment horizontal="left" wrapText="1"/>
    </xf>
    <xf numFmtId="0" fontId="45" fillId="0" borderId="0" applyNumberFormat="0" applyFill="0" applyBorder="0" applyProtection="0">
      <alignment horizontal="right" wrapText="1"/>
    </xf>
    <xf numFmtId="0" fontId="45" fillId="0" borderId="0" applyNumberFormat="0" applyFill="0" applyBorder="0" applyProtection="0">
      <alignment horizontal="right" wrapText="1"/>
    </xf>
    <xf numFmtId="0" fontId="45" fillId="0" borderId="0" applyNumberFormat="0" applyFill="0" applyBorder="0" applyProtection="0">
      <alignment horizontal="right" wrapText="1"/>
    </xf>
    <xf numFmtId="0" fontId="45" fillId="0" borderId="0" applyNumberFormat="0" applyFill="0" applyBorder="0" applyProtection="0">
      <alignment horizontal="right" wrapText="1"/>
    </xf>
    <xf numFmtId="0" fontId="45" fillId="0" borderId="0" applyNumberFormat="0" applyFill="0" applyBorder="0" applyProtection="0">
      <alignment horizontal="right" wrapText="1"/>
    </xf>
    <xf numFmtId="198" fontId="45" fillId="0" borderId="0" applyFill="0" applyBorder="0" applyAlignment="0" applyProtection="0">
      <alignment wrapText="1"/>
    </xf>
    <xf numFmtId="198" fontId="45" fillId="0" borderId="0" applyFill="0" applyBorder="0" applyAlignment="0" applyProtection="0">
      <alignment wrapText="1"/>
    </xf>
    <xf numFmtId="198" fontId="45" fillId="0" borderId="0" applyFill="0" applyBorder="0" applyAlignment="0" applyProtection="0">
      <alignment wrapText="1"/>
    </xf>
    <xf numFmtId="198" fontId="45" fillId="0" borderId="0" applyFill="0" applyBorder="0" applyAlignment="0" applyProtection="0">
      <alignment wrapText="1"/>
    </xf>
    <xf numFmtId="198" fontId="45" fillId="0" borderId="0" applyFill="0" applyBorder="0" applyAlignment="0" applyProtection="0">
      <alignment wrapText="1"/>
    </xf>
    <xf numFmtId="40" fontId="205" fillId="0" borderId="0" applyBorder="0">
      <alignment horizontal="right"/>
    </xf>
    <xf numFmtId="0" fontId="206" fillId="0" borderId="0" applyBorder="0" applyProtection="0">
      <alignment vertical="center"/>
    </xf>
    <xf numFmtId="0" fontId="206" fillId="0" borderId="2" applyBorder="0" applyProtection="0">
      <alignment horizontal="right" vertical="center"/>
    </xf>
    <xf numFmtId="0" fontId="207" fillId="75" borderId="0" applyBorder="0" applyProtection="0">
      <alignment horizontal="centerContinuous" vertical="center"/>
    </xf>
    <xf numFmtId="0" fontId="207" fillId="63" borderId="2" applyBorder="0" applyProtection="0">
      <alignment horizontal="centerContinuous" vertical="center"/>
    </xf>
    <xf numFmtId="0" fontId="186" fillId="0" borderId="0" applyBorder="0" applyProtection="0">
      <alignment horizontal="left"/>
    </xf>
    <xf numFmtId="0" fontId="186" fillId="0" borderId="0" applyBorder="0" applyProtection="0">
      <alignment horizontal="left"/>
    </xf>
    <xf numFmtId="0" fontId="208" fillId="0" borderId="0" applyFill="0" applyBorder="0" applyProtection="0">
      <alignment horizontal="left"/>
    </xf>
    <xf numFmtId="0" fontId="49" fillId="0" borderId="38" applyFill="0" applyBorder="0" applyProtection="0">
      <alignment horizontal="left" vertical="top"/>
    </xf>
    <xf numFmtId="0" fontId="49" fillId="0" borderId="38" applyFill="0" applyBorder="0" applyProtection="0">
      <alignment horizontal="left" vertical="top"/>
    </xf>
    <xf numFmtId="0" fontId="49" fillId="0" borderId="38" applyFill="0" applyBorder="0" applyProtection="0">
      <alignment horizontal="left" vertical="top"/>
    </xf>
    <xf numFmtId="0" fontId="49" fillId="0" borderId="38" applyFill="0" applyBorder="0" applyProtection="0">
      <alignment horizontal="left" vertical="top"/>
    </xf>
    <xf numFmtId="0" fontId="49" fillId="0" borderId="38" applyFill="0" applyBorder="0" applyProtection="0">
      <alignment horizontal="left" vertical="top"/>
    </xf>
    <xf numFmtId="0" fontId="209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209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210" fillId="0" borderId="0" applyNumberFormat="0" applyFill="0" applyBorder="0" applyAlignment="0" applyProtection="0"/>
    <xf numFmtId="0" fontId="210" fillId="0" borderId="0" applyNumberFormat="0" applyFill="0" applyBorder="0" applyAlignment="0" applyProtection="0"/>
    <xf numFmtId="0" fontId="210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33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33" fillId="0" borderId="0" applyNumberFormat="0" applyFill="0" applyBorder="0" applyAlignment="0" applyProtection="0"/>
    <xf numFmtId="0" fontId="57" fillId="4" borderId="0">
      <alignment horizontal="left" wrapText="1"/>
    </xf>
    <xf numFmtId="0" fontId="211" fillId="0" borderId="0">
      <alignment horizontal="left" vertical="center"/>
    </xf>
    <xf numFmtId="0" fontId="124" fillId="0" borderId="23" applyNumberFormat="0" applyFill="0" applyAlignment="0" applyProtection="0"/>
    <xf numFmtId="0" fontId="82" fillId="0" borderId="40" applyNumberFormat="0" applyFill="0" applyAlignment="0" applyProtection="0"/>
    <xf numFmtId="0" fontId="117" fillId="0" borderId="40" applyNumberFormat="0" applyFill="0" applyAlignment="0" applyProtection="0"/>
    <xf numFmtId="0" fontId="212" fillId="0" borderId="23" applyNumberFormat="0" applyFill="0" applyAlignment="0" applyProtection="0"/>
    <xf numFmtId="0" fontId="124" fillId="0" borderId="23" applyNumberFormat="0" applyFill="0" applyAlignment="0" applyProtection="0"/>
    <xf numFmtId="0" fontId="117" fillId="0" borderId="40" applyNumberFormat="0" applyFill="0" applyAlignment="0" applyProtection="0"/>
    <xf numFmtId="0" fontId="82" fillId="0" borderId="40" applyNumberFormat="0" applyFill="0" applyAlignment="0" applyProtection="0"/>
    <xf numFmtId="0" fontId="82" fillId="0" borderId="40" applyNumberFormat="0" applyFill="0" applyAlignment="0" applyProtection="0"/>
    <xf numFmtId="0" fontId="82" fillId="0" borderId="40" applyNumberFormat="0" applyFill="0" applyAlignment="0" applyProtection="0"/>
    <xf numFmtId="0" fontId="117" fillId="0" borderId="23" applyNumberFormat="0" applyFill="0" applyAlignment="0" applyProtection="0"/>
    <xf numFmtId="0" fontId="82" fillId="0" borderId="40" applyNumberFormat="0" applyFill="0" applyAlignment="0" applyProtection="0"/>
    <xf numFmtId="0" fontId="117" fillId="0" borderId="23" applyNumberFormat="0" applyFill="0" applyAlignment="0" applyProtection="0"/>
    <xf numFmtId="0" fontId="124" fillId="0" borderId="23" applyNumberFormat="0" applyFill="0" applyAlignment="0" applyProtection="0"/>
    <xf numFmtId="0" fontId="117" fillId="0" borderId="23" applyNumberFormat="0" applyFill="0" applyAlignment="0" applyProtection="0"/>
    <xf numFmtId="0" fontId="128" fillId="0" borderId="14" applyNumberFormat="0" applyFill="0" applyAlignment="0" applyProtection="0"/>
    <xf numFmtId="0" fontId="212" fillId="0" borderId="23" applyNumberFormat="0" applyFill="0" applyAlignment="0" applyProtection="0"/>
    <xf numFmtId="0" fontId="212" fillId="0" borderId="23" applyNumberFormat="0" applyFill="0" applyAlignment="0" applyProtection="0"/>
    <xf numFmtId="0" fontId="117" fillId="0" borderId="23" applyNumberFormat="0" applyFill="0" applyAlignment="0" applyProtection="0"/>
    <xf numFmtId="0" fontId="212" fillId="0" borderId="23" applyNumberFormat="0" applyFill="0" applyAlignment="0" applyProtection="0"/>
    <xf numFmtId="0" fontId="128" fillId="0" borderId="14" applyNumberFormat="0" applyFill="0" applyAlignment="0" applyProtection="0"/>
    <xf numFmtId="37" fontId="49" fillId="72" borderId="0" applyNumberFormat="0" applyBorder="0" applyAlignment="0" applyProtection="0"/>
    <xf numFmtId="37" fontId="49" fillId="72" borderId="0" applyNumberFormat="0" applyBorder="0" applyAlignment="0" applyProtection="0"/>
    <xf numFmtId="37" fontId="49" fillId="0" borderId="0"/>
    <xf numFmtId="37" fontId="49" fillId="0" borderId="0"/>
    <xf numFmtId="37" fontId="49" fillId="0" borderId="0"/>
    <xf numFmtId="37" fontId="49" fillId="72" borderId="0" applyNumberFormat="0" applyBorder="0" applyAlignment="0" applyProtection="0"/>
    <xf numFmtId="3" fontId="213" fillId="0" borderId="34" applyProtection="0"/>
    <xf numFmtId="37" fontId="45" fillId="0" borderId="0"/>
    <xf numFmtId="0" fontId="214" fillId="0" borderId="0" applyNumberFormat="0" applyFill="0" applyBorder="0" applyAlignment="0" applyProtection="0"/>
    <xf numFmtId="0" fontId="215" fillId="0" borderId="0" applyNumberFormat="0" applyFill="0" applyBorder="0" applyAlignment="0" applyProtection="0"/>
    <xf numFmtId="0" fontId="214" fillId="0" borderId="0" applyNumberFormat="0" applyFill="0" applyBorder="0" applyAlignment="0" applyProtection="0"/>
    <xf numFmtId="0" fontId="121" fillId="0" borderId="0" applyNumberFormat="0" applyFill="0" applyBorder="0" applyAlignment="0" applyProtection="0"/>
    <xf numFmtId="0" fontId="121" fillId="0" borderId="0" applyNumberFormat="0" applyFill="0" applyBorder="0" applyAlignment="0" applyProtection="0"/>
    <xf numFmtId="0" fontId="121" fillId="0" borderId="0" applyNumberFormat="0" applyFill="0" applyBorder="0" applyAlignment="0" applyProtection="0"/>
    <xf numFmtId="0" fontId="214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215" fillId="0" borderId="0" applyNumberFormat="0" applyFill="0" applyBorder="0" applyAlignment="0" applyProtection="0"/>
    <xf numFmtId="0" fontId="121" fillId="0" borderId="0" applyNumberFormat="0" applyFill="0" applyBorder="0" applyAlignment="0" applyProtection="0"/>
    <xf numFmtId="0" fontId="215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37" fillId="0" borderId="0"/>
    <xf numFmtId="0" fontId="67" fillId="59" borderId="0" applyNumberFormat="0" applyBorder="0" applyAlignment="0" applyProtection="0"/>
    <xf numFmtId="0" fontId="146" fillId="40" borderId="0" applyNumberFormat="0" applyBorder="0" applyAlignment="0" applyProtection="0"/>
    <xf numFmtId="0" fontId="67" fillId="45" borderId="0" applyNumberFormat="0" applyBorder="0" applyAlignment="0" applyProtection="0"/>
    <xf numFmtId="0" fontId="146" fillId="41" borderId="0" applyNumberFormat="0" applyBorder="0" applyAlignment="0" applyProtection="0"/>
    <xf numFmtId="0" fontId="67" fillId="61" borderId="0" applyNumberFormat="0" applyBorder="0" applyAlignment="0" applyProtection="0"/>
    <xf numFmtId="0" fontId="146" fillId="42" borderId="0" applyNumberFormat="0" applyBorder="0" applyAlignment="0" applyProtection="0"/>
    <xf numFmtId="0" fontId="67" fillId="59" borderId="0" applyNumberFormat="0" applyBorder="0" applyAlignment="0" applyProtection="0"/>
    <xf numFmtId="0" fontId="146" fillId="43" borderId="0" applyNumberFormat="0" applyBorder="0" applyAlignment="0" applyProtection="0"/>
    <xf numFmtId="0" fontId="146" fillId="44" borderId="0" applyNumberFormat="0" applyBorder="0" applyAlignment="0" applyProtection="0"/>
    <xf numFmtId="0" fontId="146" fillId="45" borderId="0" applyNumberFormat="0" applyBorder="0" applyAlignment="0" applyProtection="0"/>
    <xf numFmtId="0" fontId="67" fillId="58" borderId="0" applyNumberFormat="0" applyBorder="0" applyAlignment="0" applyProtection="0"/>
    <xf numFmtId="0" fontId="146" fillId="46" borderId="0" applyNumberFormat="0" applyBorder="0" applyAlignment="0" applyProtection="0"/>
    <xf numFmtId="0" fontId="146" fillId="47" borderId="0" applyNumberFormat="0" applyBorder="0" applyAlignment="0" applyProtection="0"/>
    <xf numFmtId="0" fontId="67" fillId="60" borderId="0" applyNumberFormat="0" applyBorder="0" applyAlignment="0" applyProtection="0"/>
    <xf numFmtId="0" fontId="146" fillId="48" borderId="0" applyNumberFormat="0" applyBorder="0" applyAlignment="0" applyProtection="0"/>
    <xf numFmtId="0" fontId="67" fillId="58" borderId="0" applyNumberFormat="0" applyBorder="0" applyAlignment="0" applyProtection="0"/>
    <xf numFmtId="0" fontId="146" fillId="43" borderId="0" applyNumberFormat="0" applyBorder="0" applyAlignment="0" applyProtection="0"/>
    <xf numFmtId="0" fontId="146" fillId="46" borderId="0" applyNumberFormat="0" applyBorder="0" applyAlignment="0" applyProtection="0"/>
    <xf numFmtId="0" fontId="67" fillId="45" borderId="0" applyNumberFormat="0" applyBorder="0" applyAlignment="0" applyProtection="0"/>
    <xf numFmtId="0" fontId="146" fillId="49" borderId="0" applyNumberFormat="0" applyBorder="0" applyAlignment="0" applyProtection="0"/>
    <xf numFmtId="0" fontId="149" fillId="52" borderId="0" applyNumberFormat="0" applyBorder="0" applyAlignment="0" applyProtection="0"/>
    <xf numFmtId="0" fontId="148" fillId="50" borderId="0" applyNumberFormat="0" applyBorder="0" applyAlignment="0" applyProtection="0"/>
    <xf numFmtId="0" fontId="149" fillId="47" borderId="0" applyNumberFormat="0" applyBorder="0" applyAlignment="0" applyProtection="0"/>
    <xf numFmtId="0" fontId="148" fillId="47" borderId="0" applyNumberFormat="0" applyBorder="0" applyAlignment="0" applyProtection="0"/>
    <xf numFmtId="0" fontId="149" fillId="60" borderId="0" applyNumberFormat="0" applyBorder="0" applyAlignment="0" applyProtection="0"/>
    <xf numFmtId="0" fontId="148" fillId="48" borderId="0" applyNumberFormat="0" applyBorder="0" applyAlignment="0" applyProtection="0"/>
    <xf numFmtId="0" fontId="149" fillId="58" borderId="0" applyNumberFormat="0" applyBorder="0" applyAlignment="0" applyProtection="0"/>
    <xf numFmtId="0" fontId="148" fillId="51" borderId="0" applyNumberFormat="0" applyBorder="0" applyAlignment="0" applyProtection="0"/>
    <xf numFmtId="0" fontId="149" fillId="52" borderId="0" applyNumberFormat="0" applyBorder="0" applyAlignment="0" applyProtection="0"/>
    <xf numFmtId="0" fontId="148" fillId="52" borderId="0" applyNumberFormat="0" applyBorder="0" applyAlignment="0" applyProtection="0"/>
    <xf numFmtId="0" fontId="149" fillId="68" borderId="0" applyNumberFormat="0" applyBorder="0" applyAlignment="0" applyProtection="0"/>
    <xf numFmtId="0" fontId="148" fillId="53" borderId="0" applyNumberFormat="0" applyBorder="0" applyAlignment="0" applyProtection="0"/>
    <xf numFmtId="0" fontId="149" fillId="52" borderId="0" applyNumberFormat="0" applyBorder="0" applyAlignment="0" applyProtection="0"/>
    <xf numFmtId="0" fontId="149" fillId="52" borderId="0" applyNumberFormat="0" applyBorder="0" applyAlignment="0" applyProtection="0"/>
    <xf numFmtId="0" fontId="148" fillId="54" borderId="0" applyNumberFormat="0" applyBorder="0" applyAlignment="0" applyProtection="0"/>
    <xf numFmtId="0" fontId="149" fillId="55" borderId="0" applyNumberFormat="0" applyBorder="0" applyAlignment="0" applyProtection="0"/>
    <xf numFmtId="0" fontId="148" fillId="55" borderId="0" applyNumberFormat="0" applyBorder="0" applyAlignment="0" applyProtection="0"/>
    <xf numFmtId="0" fontId="149" fillId="56" borderId="0" applyNumberFormat="0" applyBorder="0" applyAlignment="0" applyProtection="0"/>
    <xf numFmtId="0" fontId="149" fillId="56" borderId="0" applyNumberFormat="0" applyBorder="0" applyAlignment="0" applyProtection="0"/>
    <xf numFmtId="0" fontId="148" fillId="56" borderId="0" applyNumberFormat="0" applyBorder="0" applyAlignment="0" applyProtection="0"/>
    <xf numFmtId="0" fontId="149" fillId="69" borderId="0" applyNumberFormat="0" applyBorder="0" applyAlignment="0" applyProtection="0"/>
    <xf numFmtId="0" fontId="149" fillId="69" borderId="0" applyNumberFormat="0" applyBorder="0" applyAlignment="0" applyProtection="0"/>
    <xf numFmtId="0" fontId="148" fillId="51" borderId="0" applyNumberFormat="0" applyBorder="0" applyAlignment="0" applyProtection="0"/>
    <xf numFmtId="0" fontId="149" fillId="52" borderId="0" applyNumberFormat="0" applyBorder="0" applyAlignment="0" applyProtection="0"/>
    <xf numFmtId="0" fontId="148" fillId="52" borderId="0" applyNumberFormat="0" applyBorder="0" applyAlignment="0" applyProtection="0"/>
    <xf numFmtId="0" fontId="149" fillId="57" borderId="0" applyNumberFormat="0" applyBorder="0" applyAlignment="0" applyProtection="0"/>
    <xf numFmtId="0" fontId="149" fillId="57" borderId="0" applyNumberFormat="0" applyBorder="0" applyAlignment="0" applyProtection="0"/>
    <xf numFmtId="0" fontId="148" fillId="57" borderId="0" applyNumberFormat="0" applyBorder="0" applyAlignment="0" applyProtection="0"/>
    <xf numFmtId="0" fontId="151" fillId="41" borderId="0" applyNumberFormat="0" applyBorder="0" applyAlignment="0" applyProtection="0"/>
    <xf numFmtId="0" fontId="151" fillId="41" borderId="0" applyNumberFormat="0" applyBorder="0" applyAlignment="0" applyProtection="0"/>
    <xf numFmtId="0" fontId="77" fillId="48" borderId="29" applyNumberFormat="0" applyAlignment="0" applyProtection="0"/>
    <xf numFmtId="0" fontId="154" fillId="58" borderId="15" applyNumberFormat="0" applyAlignment="0" applyProtection="0"/>
    <xf numFmtId="0" fontId="157" fillId="59" borderId="16" applyNumberFormat="0" applyAlignment="0" applyProtection="0"/>
    <xf numFmtId="0" fontId="157" fillId="59" borderId="16" applyNumberFormat="0" applyAlignment="0" applyProtection="0"/>
    <xf numFmtId="0" fontId="156" fillId="59" borderId="16" applyNumberFormat="0" applyAlignment="0" applyProtection="0"/>
    <xf numFmtId="43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0" fontId="159" fillId="0" borderId="0" applyFont="0" applyFill="0" applyBorder="0" applyAlignment="0" applyProtection="0">
      <alignment horizontal="right"/>
    </xf>
    <xf numFmtId="0" fontId="159" fillId="0" borderId="0" applyFont="0" applyFill="0" applyBorder="0" applyAlignment="0" applyProtection="0">
      <alignment horizontal="right"/>
    </xf>
    <xf numFmtId="43" fontId="49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216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216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160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37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49" fillId="0" borderId="0" applyFont="0" applyFill="0" applyBorder="0" applyAlignment="0" applyProtection="0"/>
    <xf numFmtId="44" fontId="49" fillId="0" borderId="0" applyFont="0" applyFill="0" applyBorder="0" applyAlignment="0" applyProtection="0"/>
    <xf numFmtId="44" fontId="67" fillId="0" borderId="0" applyFont="0" applyFill="0" applyBorder="0" applyAlignment="0" applyProtection="0"/>
    <xf numFmtId="0" fontId="168" fillId="0" borderId="0" applyNumberFormat="0" applyFill="0" applyBorder="0" applyAlignment="0" applyProtection="0"/>
    <xf numFmtId="0" fontId="167" fillId="0" borderId="0" applyNumberFormat="0" applyFill="0" applyBorder="0" applyAlignment="0" applyProtection="0"/>
    <xf numFmtId="0" fontId="174" fillId="66" borderId="0" applyNumberFormat="0" applyBorder="0" applyAlignment="0" applyProtection="0"/>
    <xf numFmtId="0" fontId="174" fillId="66" borderId="0" applyNumberFormat="0" applyBorder="0" applyAlignment="0" applyProtection="0"/>
    <xf numFmtId="0" fontId="59" fillId="42" borderId="0" applyNumberFormat="0" applyBorder="0" applyAlignment="0" applyProtection="0"/>
    <xf numFmtId="0" fontId="59" fillId="42" borderId="0" applyNumberFormat="0" applyBorder="0" applyAlignment="0" applyProtection="0"/>
    <xf numFmtId="0" fontId="180" fillId="0" borderId="31" applyNumberFormat="0" applyFill="0" applyAlignment="0" applyProtection="0"/>
    <xf numFmtId="0" fontId="179" fillId="0" borderId="17" applyNumberFormat="0" applyFill="0" applyAlignment="0" applyProtection="0"/>
    <xf numFmtId="0" fontId="182" fillId="0" borderId="32" applyNumberFormat="0" applyFill="0" applyAlignment="0" applyProtection="0"/>
    <xf numFmtId="0" fontId="181" fillId="0" borderId="18" applyNumberFormat="0" applyFill="0" applyAlignment="0" applyProtection="0"/>
    <xf numFmtId="0" fontId="185" fillId="0" borderId="33" applyNumberFormat="0" applyFill="0" applyAlignment="0" applyProtection="0"/>
    <xf numFmtId="0" fontId="184" fillId="0" borderId="19" applyNumberFormat="0" applyFill="0" applyAlignment="0" applyProtection="0"/>
    <xf numFmtId="0" fontId="185" fillId="0" borderId="0" applyNumberFormat="0" applyFill="0" applyBorder="0" applyAlignment="0" applyProtection="0"/>
    <xf numFmtId="0" fontId="184" fillId="0" borderId="0" applyNumberFormat="0" applyFill="0" applyBorder="0" applyAlignment="0" applyProtection="0"/>
    <xf numFmtId="10" fontId="49" fillId="4" borderId="5" applyNumberFormat="0" applyBorder="0" applyAlignment="0" applyProtection="0"/>
    <xf numFmtId="0" fontId="105" fillId="45" borderId="29" applyNumberFormat="0" applyAlignment="0" applyProtection="0"/>
    <xf numFmtId="0" fontId="105" fillId="45" borderId="29" applyNumberFormat="0" applyAlignment="0" applyProtection="0"/>
    <xf numFmtId="0" fontId="192" fillId="45" borderId="15" applyNumberFormat="0" applyAlignment="0" applyProtection="0"/>
    <xf numFmtId="0" fontId="49" fillId="3" borderId="0"/>
    <xf numFmtId="0" fontId="193" fillId="0" borderId="20" applyNumberFormat="0" applyFill="0" applyAlignment="0" applyProtection="0"/>
    <xf numFmtId="0" fontId="195" fillId="60" borderId="0" applyNumberFormat="0" applyBorder="0" applyAlignment="0" applyProtection="0"/>
    <xf numFmtId="0" fontId="37" fillId="0" borderId="0"/>
    <xf numFmtId="0" fontId="37" fillId="0" borderId="0"/>
    <xf numFmtId="0" fontId="67" fillId="0" borderId="0"/>
    <xf numFmtId="0" fontId="45" fillId="0" borderId="0"/>
    <xf numFmtId="0" fontId="37" fillId="0" borderId="0"/>
    <xf numFmtId="0" fontId="67" fillId="0" borderId="0"/>
    <xf numFmtId="0" fontId="67" fillId="0" borderId="0"/>
    <xf numFmtId="0" fontId="37" fillId="0" borderId="0"/>
    <xf numFmtId="0" fontId="67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49" fillId="0" borderId="0"/>
    <xf numFmtId="0" fontId="217" fillId="0" borderId="0"/>
    <xf numFmtId="0" fontId="49" fillId="0" borderId="0"/>
    <xf numFmtId="0" fontId="217" fillId="0" borderId="0"/>
    <xf numFmtId="0" fontId="49" fillId="0" borderId="0"/>
    <xf numFmtId="0" fontId="45" fillId="0" borderId="0"/>
    <xf numFmtId="0" fontId="49" fillId="0" borderId="0"/>
    <xf numFmtId="0" fontId="49" fillId="0" borderId="0"/>
    <xf numFmtId="0" fontId="37" fillId="0" borderId="0"/>
    <xf numFmtId="0" fontId="37" fillId="0" borderId="0"/>
    <xf numFmtId="0" fontId="67" fillId="0" borderId="0"/>
    <xf numFmtId="0" fontId="160" fillId="0" borderId="0"/>
    <xf numFmtId="0" fontId="160" fillId="0" borderId="0"/>
    <xf numFmtId="0" fontId="37" fillId="0" borderId="0"/>
    <xf numFmtId="0" fontId="67" fillId="0" borderId="0"/>
    <xf numFmtId="0" fontId="160" fillId="0" borderId="0"/>
    <xf numFmtId="0" fontId="67" fillId="0" borderId="0"/>
    <xf numFmtId="0" fontId="37" fillId="0" borderId="0"/>
    <xf numFmtId="0" fontId="67" fillId="0" borderId="0"/>
    <xf numFmtId="0" fontId="45" fillId="0" borderId="0"/>
    <xf numFmtId="0" fontId="160" fillId="0" borderId="0"/>
    <xf numFmtId="0" fontId="37" fillId="0" borderId="0"/>
    <xf numFmtId="0" fontId="37" fillId="0" borderId="0"/>
    <xf numFmtId="0" fontId="45" fillId="0" borderId="0"/>
    <xf numFmtId="0" fontId="45" fillId="0" borderId="0"/>
    <xf numFmtId="0" fontId="37" fillId="0" borderId="0"/>
    <xf numFmtId="43" fontId="37" fillId="0" borderId="0" applyFont="0" applyFill="0" applyBorder="0" applyAlignment="0" applyProtection="0"/>
    <xf numFmtId="0" fontId="37" fillId="0" borderId="0"/>
    <xf numFmtId="0" fontId="37" fillId="0" borderId="0"/>
    <xf numFmtId="0" fontId="45" fillId="0" borderId="0"/>
    <xf numFmtId="0" fontId="37" fillId="0" borderId="0"/>
    <xf numFmtId="0" fontId="67" fillId="0" borderId="0"/>
    <xf numFmtId="0" fontId="37" fillId="0" borderId="0"/>
    <xf numFmtId="0" fontId="37" fillId="0" borderId="0"/>
    <xf numFmtId="0" fontId="45" fillId="0" borderId="0"/>
    <xf numFmtId="0" fontId="37" fillId="0" borderId="0"/>
    <xf numFmtId="0" fontId="199" fillId="58" borderId="22" applyNumberFormat="0" applyAlignment="0" applyProtection="0"/>
    <xf numFmtId="9" fontId="37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38" fontId="49" fillId="0" borderId="39"/>
    <xf numFmtId="0" fontId="116" fillId="0" borderId="0" applyNumberFormat="0" applyFill="0" applyBorder="0" applyAlignment="0" applyProtection="0"/>
    <xf numFmtId="0" fontId="117" fillId="0" borderId="40" applyNumberFormat="0" applyFill="0" applyAlignment="0" applyProtection="0"/>
    <xf numFmtId="0" fontId="124" fillId="0" borderId="23" applyNumberFormat="0" applyFill="0" applyAlignment="0" applyProtection="0"/>
    <xf numFmtId="0" fontId="214" fillId="0" borderId="0" applyNumberFormat="0" applyFill="0" applyBorder="0" applyAlignment="0" applyProtection="0"/>
    <xf numFmtId="0" fontId="37" fillId="17" borderId="0" applyNumberFormat="0" applyBorder="0" applyAlignment="0" applyProtection="0"/>
    <xf numFmtId="0" fontId="37" fillId="21" borderId="0" applyNumberFormat="0" applyBorder="0" applyAlignment="0" applyProtection="0"/>
    <xf numFmtId="0" fontId="37" fillId="25" borderId="0" applyNumberFormat="0" applyBorder="0" applyAlignment="0" applyProtection="0"/>
    <xf numFmtId="0" fontId="37" fillId="29" borderId="0" applyNumberFormat="0" applyBorder="0" applyAlignment="0" applyProtection="0"/>
    <xf numFmtId="0" fontId="37" fillId="33" borderId="0" applyNumberFormat="0" applyBorder="0" applyAlignment="0" applyProtection="0"/>
    <xf numFmtId="0" fontId="37" fillId="37" borderId="0" applyNumberFormat="0" applyBorder="0" applyAlignment="0" applyProtection="0"/>
    <xf numFmtId="0" fontId="37" fillId="18" borderId="0" applyNumberFormat="0" applyBorder="0" applyAlignment="0" applyProtection="0"/>
    <xf numFmtId="0" fontId="37" fillId="22" borderId="0" applyNumberFormat="0" applyBorder="0" applyAlignment="0" applyProtection="0"/>
    <xf numFmtId="0" fontId="37" fillId="26" borderId="0" applyNumberFormat="0" applyBorder="0" applyAlignment="0" applyProtection="0"/>
    <xf numFmtId="0" fontId="37" fillId="30" borderId="0" applyNumberFormat="0" applyBorder="0" applyAlignment="0" applyProtection="0"/>
    <xf numFmtId="0" fontId="37" fillId="34" borderId="0" applyNumberFormat="0" applyBorder="0" applyAlignment="0" applyProtection="0"/>
    <xf numFmtId="0" fontId="37" fillId="38" borderId="0" applyNumberFormat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45" fillId="0" borderId="0" applyFont="0" applyFill="0" applyBorder="0" applyAlignment="0" applyProtection="0"/>
    <xf numFmtId="0" fontId="45" fillId="0" borderId="0"/>
    <xf numFmtId="43" fontId="67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70" fillId="0" borderId="0" applyFont="0" applyFill="0" applyBorder="0" applyAlignment="0" applyProtection="0"/>
    <xf numFmtId="0" fontId="146" fillId="0" borderId="0"/>
    <xf numFmtId="9" fontId="37" fillId="0" borderId="0" applyFont="0" applyFill="0" applyBorder="0" applyAlignment="0" applyProtection="0"/>
    <xf numFmtId="43" fontId="67" fillId="0" borderId="0" applyFont="0" applyFill="0" applyBorder="0" applyAlignment="0" applyProtection="0"/>
    <xf numFmtId="43" fontId="70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0" fontId="146" fillId="0" borderId="0"/>
    <xf numFmtId="0" fontId="146" fillId="0" borderId="0"/>
    <xf numFmtId="0" fontId="67" fillId="0" borderId="0"/>
    <xf numFmtId="0" fontId="37" fillId="0" borderId="0"/>
    <xf numFmtId="0" fontId="146" fillId="0" borderId="0"/>
    <xf numFmtId="0" fontId="146" fillId="0" borderId="0"/>
    <xf numFmtId="0" fontId="6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146" fillId="0" borderId="0"/>
    <xf numFmtId="0" fontId="146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0" borderId="0"/>
    <xf numFmtId="0" fontId="37" fillId="0" borderId="0"/>
    <xf numFmtId="0" fontId="37" fillId="0" borderId="0"/>
    <xf numFmtId="0" fontId="45" fillId="0" borderId="0"/>
    <xf numFmtId="0" fontId="67" fillId="0" borderId="0"/>
    <xf numFmtId="0" fontId="37" fillId="0" borderId="0"/>
    <xf numFmtId="0" fontId="37" fillId="0" borderId="0"/>
    <xf numFmtId="0" fontId="67" fillId="0" borderId="0"/>
    <xf numFmtId="0" fontId="37" fillId="0" borderId="0"/>
    <xf numFmtId="0" fontId="37" fillId="0" borderId="0"/>
    <xf numFmtId="0" fontId="67" fillId="0" borderId="0"/>
    <xf numFmtId="0" fontId="37" fillId="0" borderId="0"/>
    <xf numFmtId="0" fontId="37" fillId="0" borderId="0"/>
    <xf numFmtId="0" fontId="37" fillId="0" borderId="0"/>
    <xf numFmtId="0" fontId="67" fillId="0" borderId="0"/>
    <xf numFmtId="0" fontId="37" fillId="0" borderId="0"/>
    <xf numFmtId="0" fontId="37" fillId="0" borderId="0"/>
    <xf numFmtId="0" fontId="146" fillId="0" borderId="0"/>
    <xf numFmtId="0" fontId="146" fillId="0" borderId="0"/>
    <xf numFmtId="0" fontId="37" fillId="0" borderId="0"/>
    <xf numFmtId="0" fontId="67" fillId="0" borderId="0"/>
    <xf numFmtId="0" fontId="37" fillId="0" borderId="0"/>
    <xf numFmtId="0" fontId="67" fillId="0" borderId="0"/>
    <xf numFmtId="0" fontId="37" fillId="0" borderId="0"/>
    <xf numFmtId="0" fontId="67" fillId="0" borderId="0"/>
    <xf numFmtId="0" fontId="37" fillId="0" borderId="0"/>
    <xf numFmtId="0" fontId="37" fillId="0" borderId="0"/>
    <xf numFmtId="0" fontId="45" fillId="61" borderId="21" applyNumberFormat="0" applyFont="0" applyAlignment="0" applyProtection="0"/>
    <xf numFmtId="0" fontId="146" fillId="0" borderId="0"/>
    <xf numFmtId="0" fontId="146" fillId="0" borderId="0"/>
    <xf numFmtId="0" fontId="146" fillId="0" borderId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37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0" fontId="146" fillId="0" borderId="0"/>
    <xf numFmtId="43" fontId="37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37" fillId="0" borderId="0" applyFont="0" applyFill="0" applyBorder="0" applyAlignment="0" applyProtection="0"/>
    <xf numFmtId="0" fontId="45" fillId="0" borderId="0"/>
    <xf numFmtId="0" fontId="45" fillId="0" borderId="0"/>
    <xf numFmtId="0" fontId="45" fillId="0" borderId="0"/>
    <xf numFmtId="170" fontId="45" fillId="0" borderId="0">
      <alignment horizontal="left" wrapText="1"/>
    </xf>
    <xf numFmtId="175" fontId="45" fillId="0" borderId="0">
      <alignment horizontal="left" wrapText="1"/>
    </xf>
    <xf numFmtId="170" fontId="45" fillId="0" borderId="0">
      <alignment horizontal="left" wrapText="1"/>
    </xf>
    <xf numFmtId="170" fontId="45" fillId="0" borderId="0">
      <alignment horizontal="left" wrapText="1"/>
    </xf>
    <xf numFmtId="175" fontId="45" fillId="0" borderId="0">
      <alignment horizontal="left" wrapText="1"/>
    </xf>
    <xf numFmtId="170" fontId="45" fillId="0" borderId="0">
      <alignment horizontal="left" wrapText="1"/>
    </xf>
    <xf numFmtId="175" fontId="45" fillId="0" borderId="0">
      <alignment horizontal="left" wrapText="1"/>
    </xf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3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5" fontId="45" fillId="0" borderId="0" applyFont="0" applyFill="0" applyBorder="0" applyAlignment="0" applyProtection="0"/>
    <xf numFmtId="17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9" fontId="37" fillId="0" borderId="0" applyFont="0" applyFill="0" applyBorder="0" applyAlignment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61" borderId="21" applyNumberFormat="0" applyFont="0" applyAlignment="0" applyProtection="0"/>
    <xf numFmtId="0" fontId="45" fillId="61" borderId="29" applyNumberFormat="0" applyFont="0" applyAlignment="0" applyProtection="0"/>
    <xf numFmtId="0" fontId="45" fillId="61" borderId="29" applyNumberFormat="0" applyFont="0" applyAlignment="0" applyProtection="0"/>
    <xf numFmtId="0" fontId="45" fillId="61" borderId="21" applyNumberFormat="0" applyFont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197" fontId="45" fillId="0" borderId="0" applyFont="0" applyFill="0" applyAlignment="0">
      <alignment horizontal="right"/>
    </xf>
    <xf numFmtId="39" fontId="45" fillId="73" borderId="0"/>
    <xf numFmtId="170" fontId="45" fillId="0" borderId="0">
      <alignment horizontal="left" wrapText="1"/>
    </xf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0" fontId="45" fillId="0" borderId="0"/>
    <xf numFmtId="43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61" borderId="21" applyNumberFormat="0" applyFont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0" fontId="146" fillId="0" borderId="0"/>
    <xf numFmtId="0" fontId="45" fillId="0" borderId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0" fontId="45" fillId="0" borderId="0"/>
    <xf numFmtId="0" fontId="45" fillId="0" borderId="0"/>
    <xf numFmtId="9" fontId="45" fillId="0" borderId="0" applyFont="0" applyFill="0" applyBorder="0" applyAlignment="0" applyProtection="0"/>
    <xf numFmtId="0" fontId="66" fillId="0" borderId="0"/>
    <xf numFmtId="9" fontId="66" fillId="0" borderId="0" applyFont="0" applyFill="0" applyBorder="0" applyAlignment="0" applyProtection="0"/>
    <xf numFmtId="43" fontId="160" fillId="0" borderId="0" applyFont="0" applyFill="0" applyBorder="0" applyAlignment="0" applyProtection="0"/>
    <xf numFmtId="43" fontId="67" fillId="0" borderId="0" applyFont="0" applyFill="0" applyBorder="0" applyAlignment="0" applyProtection="0"/>
    <xf numFmtId="3" fontId="45" fillId="0" borderId="0" applyFont="0" applyFill="0" applyBorder="0" applyAlignment="0" applyProtection="0"/>
    <xf numFmtId="0" fontId="49" fillId="0" borderId="0"/>
    <xf numFmtId="0" fontId="193" fillId="0" borderId="20" applyNumberFormat="0" applyFill="0" applyAlignment="0" applyProtection="0"/>
    <xf numFmtId="0" fontId="193" fillId="0" borderId="20" applyNumberFormat="0" applyFill="0" applyAlignment="0" applyProtection="0"/>
    <xf numFmtId="9" fontId="45" fillId="0" borderId="0" applyFont="0" applyFill="0" applyBorder="0" applyAlignment="0" applyProtection="0"/>
    <xf numFmtId="3" fontId="45" fillId="0" borderId="0" applyFont="0" applyFill="0" applyBorder="0" applyAlignment="0" applyProtection="0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3" fontId="45" fillId="0" borderId="0" applyFont="0" applyFill="0" applyBorder="0" applyAlignment="0" applyProtection="0"/>
    <xf numFmtId="3" fontId="45" fillId="0" borderId="0" applyFont="0" applyFill="0" applyBorder="0" applyAlignment="0" applyProtection="0"/>
    <xf numFmtId="3" fontId="45" fillId="0" borderId="0" applyFont="0" applyFill="0" applyBorder="0" applyAlignment="0" applyProtection="0"/>
    <xf numFmtId="3" fontId="45" fillId="0" borderId="0" applyFont="0" applyFill="0" applyBorder="0" applyAlignment="0" applyProtection="0"/>
    <xf numFmtId="3" fontId="45" fillId="0" borderId="0" applyFont="0" applyFill="0" applyBorder="0" applyAlignment="0" applyProtection="0"/>
    <xf numFmtId="3" fontId="45" fillId="0" borderId="0" applyFont="0" applyFill="0" applyBorder="0" applyAlignment="0" applyProtection="0"/>
    <xf numFmtId="0" fontId="45" fillId="0" borderId="0"/>
    <xf numFmtId="0" fontId="218" fillId="76" borderId="41" applyNumberFormat="0" applyAlignment="0" applyProtection="0"/>
    <xf numFmtId="0" fontId="218" fillId="76" borderId="41" applyNumberFormat="0" applyAlignment="0" applyProtection="0"/>
    <xf numFmtId="2" fontId="218" fillId="77" borderId="41" applyProtection="0">
      <alignment horizontal="right"/>
    </xf>
    <xf numFmtId="2" fontId="218" fillId="77" borderId="41" applyProtection="0">
      <alignment horizontal="right"/>
    </xf>
    <xf numFmtId="2" fontId="219" fillId="78" borderId="41" applyProtection="0">
      <alignment horizontal="right"/>
    </xf>
    <xf numFmtId="2" fontId="219" fillId="78" borderId="41" applyProtection="0">
      <alignment horizontal="right"/>
    </xf>
    <xf numFmtId="14" fontId="220" fillId="79" borderId="41" applyProtection="0">
      <alignment horizontal="right"/>
    </xf>
    <xf numFmtId="14" fontId="220" fillId="79" borderId="41" applyProtection="0">
      <alignment horizontal="right"/>
    </xf>
    <xf numFmtId="14" fontId="220" fillId="79" borderId="41" applyProtection="0">
      <alignment horizontal="left"/>
    </xf>
    <xf numFmtId="14" fontId="220" fillId="79" borderId="41" applyProtection="0">
      <alignment horizontal="left"/>
    </xf>
    <xf numFmtId="0" fontId="221" fillId="76" borderId="41" applyNumberFormat="0" applyProtection="0">
      <alignment horizontal="left"/>
    </xf>
    <xf numFmtId="0" fontId="221" fillId="76" borderId="41" applyNumberFormat="0" applyProtection="0">
      <alignment horizontal="left"/>
    </xf>
    <xf numFmtId="2" fontId="220" fillId="76" borderId="41" applyProtection="0"/>
    <xf numFmtId="2" fontId="220" fillId="76" borderId="41" applyProtection="0"/>
    <xf numFmtId="2" fontId="220" fillId="76" borderId="41" applyProtection="0"/>
    <xf numFmtId="2" fontId="220" fillId="76" borderId="41" applyProtection="0"/>
    <xf numFmtId="2" fontId="148" fillId="0" borderId="0" applyFill="0" applyBorder="0" applyProtection="0"/>
    <xf numFmtId="2" fontId="148" fillId="0" borderId="0" applyFill="0" applyBorder="0" applyProtection="0"/>
    <xf numFmtId="2" fontId="219" fillId="0" borderId="0" applyFill="0" applyBorder="0" applyProtection="0"/>
    <xf numFmtId="2" fontId="219" fillId="0" borderId="0" applyFill="0" applyBorder="0" applyProtection="0"/>
    <xf numFmtId="2" fontId="219" fillId="77" borderId="41" applyProtection="0"/>
    <xf numFmtId="2" fontId="219" fillId="77" borderId="41" applyProtection="0"/>
    <xf numFmtId="2" fontId="219" fillId="80" borderId="41" applyProtection="0"/>
    <xf numFmtId="2" fontId="219" fillId="80" borderId="41" applyProtection="0"/>
    <xf numFmtId="2" fontId="219" fillId="78" borderId="41" applyProtection="0"/>
    <xf numFmtId="2" fontId="219" fillId="78" borderId="41" applyProtection="0"/>
    <xf numFmtId="2" fontId="219" fillId="78" borderId="41" applyProtection="0">
      <alignment horizontal="center"/>
    </xf>
    <xf numFmtId="2" fontId="219" fillId="78" borderId="41" applyProtection="0">
      <alignment horizontal="center"/>
    </xf>
    <xf numFmtId="2" fontId="219" fillId="80" borderId="41" applyProtection="0">
      <alignment horizontal="center"/>
    </xf>
    <xf numFmtId="2" fontId="219" fillId="80" borderId="41" applyProtection="0">
      <alignment horizontal="center"/>
    </xf>
    <xf numFmtId="9" fontId="45" fillId="0" borderId="0" applyFont="0" applyFill="0" applyBorder="0" applyAlignment="0" applyProtection="0"/>
    <xf numFmtId="0" fontId="218" fillId="76" borderId="41" applyNumberFormat="0" applyAlignment="0" applyProtection="0"/>
    <xf numFmtId="2" fontId="218" fillId="77" borderId="41" applyProtection="0">
      <alignment horizontal="right"/>
    </xf>
    <xf numFmtId="2" fontId="219" fillId="78" borderId="41" applyProtection="0">
      <alignment horizontal="right"/>
    </xf>
    <xf numFmtId="14" fontId="220" fillId="79" borderId="41" applyProtection="0">
      <alignment horizontal="right"/>
    </xf>
    <xf numFmtId="14" fontId="220" fillId="79" borderId="41" applyProtection="0">
      <alignment horizontal="left"/>
    </xf>
    <xf numFmtId="0" fontId="221" fillId="76" borderId="41" applyNumberFormat="0" applyProtection="0">
      <alignment horizontal="left"/>
    </xf>
    <xf numFmtId="2" fontId="220" fillId="76" borderId="41" applyProtection="0"/>
    <xf numFmtId="2" fontId="220" fillId="76" borderId="41" applyProtection="0"/>
    <xf numFmtId="2" fontId="148" fillId="0" borderId="0" applyFill="0" applyBorder="0" applyProtection="0"/>
    <xf numFmtId="2" fontId="219" fillId="0" borderId="0" applyFill="0" applyBorder="0" applyProtection="0"/>
    <xf numFmtId="2" fontId="219" fillId="77" borderId="41" applyProtection="0"/>
    <xf numFmtId="2" fontId="219" fillId="80" borderId="41" applyProtection="0"/>
    <xf numFmtId="2" fontId="219" fillId="78" borderId="41" applyProtection="0"/>
    <xf numFmtId="2" fontId="219" fillId="78" borderId="41" applyProtection="0">
      <alignment horizontal="center"/>
    </xf>
    <xf numFmtId="2" fontId="219" fillId="80" borderId="41" applyProtection="0">
      <alignment horizontal="center"/>
    </xf>
    <xf numFmtId="3" fontId="45" fillId="0" borderId="0" applyFont="0" applyFill="0" applyBorder="0" applyAlignment="0" applyProtection="0"/>
    <xf numFmtId="3" fontId="45" fillId="0" borderId="0" applyFont="0" applyFill="0" applyBorder="0" applyAlignment="0" applyProtection="0"/>
    <xf numFmtId="3" fontId="45" fillId="0" borderId="0" applyFont="0" applyFill="0" applyBorder="0" applyAlignment="0" applyProtection="0"/>
    <xf numFmtId="3" fontId="45" fillId="0" borderId="0" applyFont="0" applyFill="0" applyBorder="0" applyAlignment="0" applyProtection="0"/>
    <xf numFmtId="0" fontId="45" fillId="0" borderId="0"/>
    <xf numFmtId="3" fontId="45" fillId="0" borderId="0" applyFont="0" applyFill="0" applyBorder="0" applyAlignment="0" applyProtection="0"/>
    <xf numFmtId="0" fontId="222" fillId="0" borderId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37" fillId="0" borderId="0"/>
    <xf numFmtId="0" fontId="36" fillId="0" borderId="0"/>
    <xf numFmtId="9" fontId="36" fillId="0" borderId="0" applyFont="0" applyFill="0" applyBorder="0" applyAlignment="0" applyProtection="0"/>
    <xf numFmtId="0" fontId="35" fillId="0" borderId="0"/>
    <xf numFmtId="9" fontId="35" fillId="0" borderId="0" applyFont="0" applyFill="0" applyBorder="0" applyAlignment="0" applyProtection="0"/>
    <xf numFmtId="169" fontId="45" fillId="0" borderId="0"/>
    <xf numFmtId="0" fontId="46" fillId="0" borderId="0"/>
    <xf numFmtId="0" fontId="45" fillId="0" borderId="0"/>
    <xf numFmtId="0" fontId="46" fillId="0" borderId="0"/>
    <xf numFmtId="0" fontId="34" fillId="0" borderId="0"/>
    <xf numFmtId="9" fontId="34" fillId="0" borderId="0" applyFont="0" applyFill="0" applyBorder="0" applyAlignment="0" applyProtection="0"/>
    <xf numFmtId="0" fontId="133" fillId="0" borderId="0" applyNumberFormat="0" applyFill="0" applyBorder="0" applyAlignment="0" applyProtection="0"/>
    <xf numFmtId="0" fontId="134" fillId="0" borderId="6" applyNumberFormat="0" applyFill="0" applyAlignment="0" applyProtection="0"/>
    <xf numFmtId="0" fontId="135" fillId="0" borderId="7" applyNumberFormat="0" applyFill="0" applyAlignment="0" applyProtection="0"/>
    <xf numFmtId="0" fontId="136" fillId="0" borderId="8" applyNumberFormat="0" applyFill="0" applyAlignment="0" applyProtection="0"/>
    <xf numFmtId="0" fontId="136" fillId="0" borderId="0" applyNumberFormat="0" applyFill="0" applyBorder="0" applyAlignment="0" applyProtection="0"/>
    <xf numFmtId="0" fontId="103" fillId="12" borderId="9" applyNumberFormat="0" applyAlignment="0" applyProtection="0"/>
    <xf numFmtId="0" fontId="137" fillId="13" borderId="10" applyNumberFormat="0" applyAlignment="0" applyProtection="0"/>
    <xf numFmtId="0" fontId="138" fillId="13" borderId="9" applyNumberFormat="0" applyAlignment="0" applyProtection="0"/>
    <xf numFmtId="0" fontId="139" fillId="0" borderId="11" applyNumberFormat="0" applyFill="0" applyAlignment="0" applyProtection="0"/>
    <xf numFmtId="0" fontId="80" fillId="14" borderId="12" applyNumberFormat="0" applyAlignment="0" applyProtection="0"/>
    <xf numFmtId="0" fontId="132" fillId="0" borderId="0" applyNumberFormat="0" applyFill="0" applyBorder="0" applyAlignment="0" applyProtection="0"/>
    <xf numFmtId="0" fontId="140" fillId="0" borderId="0" applyNumberFormat="0" applyFill="0" applyBorder="0" applyAlignment="0" applyProtection="0"/>
    <xf numFmtId="0" fontId="128" fillId="0" borderId="14" applyNumberFormat="0" applyFill="0" applyAlignment="0" applyProtection="0"/>
    <xf numFmtId="0" fontId="73" fillId="16" borderId="0" applyNumberFormat="0" applyBorder="0" applyAlignment="0" applyProtection="0"/>
    <xf numFmtId="0" fontId="33" fillId="17" borderId="0" applyNumberFormat="0" applyBorder="0" applyAlignment="0" applyProtection="0"/>
    <xf numFmtId="0" fontId="33" fillId="18" borderId="0" applyNumberFormat="0" applyBorder="0" applyAlignment="0" applyProtection="0"/>
    <xf numFmtId="0" fontId="73" fillId="19" borderId="0" applyNumberFormat="0" applyBorder="0" applyAlignment="0" applyProtection="0"/>
    <xf numFmtId="0" fontId="33" fillId="21" borderId="0" applyNumberFormat="0" applyBorder="0" applyAlignment="0" applyProtection="0"/>
    <xf numFmtId="0" fontId="33" fillId="22" borderId="0" applyNumberFormat="0" applyBorder="0" applyAlignment="0" applyProtection="0"/>
    <xf numFmtId="0" fontId="73" fillId="23" borderId="0" applyNumberFormat="0" applyBorder="0" applyAlignment="0" applyProtection="0"/>
    <xf numFmtId="0" fontId="73" fillId="24" borderId="0" applyNumberFormat="0" applyBorder="0" applyAlignment="0" applyProtection="0"/>
    <xf numFmtId="0" fontId="33" fillId="25" borderId="0" applyNumberFormat="0" applyBorder="0" applyAlignment="0" applyProtection="0"/>
    <xf numFmtId="0" fontId="33" fillId="26" borderId="0" applyNumberFormat="0" applyBorder="0" applyAlignment="0" applyProtection="0"/>
    <xf numFmtId="0" fontId="73" fillId="27" borderId="0" applyNumberFormat="0" applyBorder="0" applyAlignment="0" applyProtection="0"/>
    <xf numFmtId="0" fontId="73" fillId="28" borderId="0" applyNumberFormat="0" applyBorder="0" applyAlignment="0" applyProtection="0"/>
    <xf numFmtId="0" fontId="33" fillId="29" borderId="0" applyNumberFormat="0" applyBorder="0" applyAlignment="0" applyProtection="0"/>
    <xf numFmtId="0" fontId="33" fillId="30" borderId="0" applyNumberFormat="0" applyBorder="0" applyAlignment="0" applyProtection="0"/>
    <xf numFmtId="0" fontId="73" fillId="31" borderId="0" applyNumberFormat="0" applyBorder="0" applyAlignment="0" applyProtection="0"/>
    <xf numFmtId="0" fontId="73" fillId="32" borderId="0" applyNumberFormat="0" applyBorder="0" applyAlignment="0" applyProtection="0"/>
    <xf numFmtId="0" fontId="33" fillId="33" borderId="0" applyNumberFormat="0" applyBorder="0" applyAlignment="0" applyProtection="0"/>
    <xf numFmtId="0" fontId="33" fillId="34" borderId="0" applyNumberFormat="0" applyBorder="0" applyAlignment="0" applyProtection="0"/>
    <xf numFmtId="0" fontId="73" fillId="35" borderId="0" applyNumberFormat="0" applyBorder="0" applyAlignment="0" applyProtection="0"/>
    <xf numFmtId="0" fontId="7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73" fillId="39" borderId="0" applyNumberFormat="0" applyBorder="0" applyAlignment="0" applyProtection="0"/>
    <xf numFmtId="0" fontId="33" fillId="0" borderId="0"/>
    <xf numFmtId="44" fontId="33" fillId="0" borderId="0" applyFont="0" applyFill="0" applyBorder="0" applyAlignment="0" applyProtection="0"/>
    <xf numFmtId="0" fontId="67" fillId="40" borderId="0" applyNumberFormat="0" applyBorder="0" applyAlignment="0" applyProtection="0"/>
    <xf numFmtId="0" fontId="67" fillId="41" borderId="0" applyNumberFormat="0" applyBorder="0" applyAlignment="0" applyProtection="0"/>
    <xf numFmtId="0" fontId="67" fillId="42" borderId="0" applyNumberFormat="0" applyBorder="0" applyAlignment="0" applyProtection="0"/>
    <xf numFmtId="0" fontId="67" fillId="43" borderId="0" applyNumberFormat="0" applyBorder="0" applyAlignment="0" applyProtection="0"/>
    <xf numFmtId="0" fontId="67" fillId="44" borderId="0" applyNumberFormat="0" applyBorder="0" applyAlignment="0" applyProtection="0"/>
    <xf numFmtId="0" fontId="67" fillId="45" borderId="0" applyNumberFormat="0" applyBorder="0" applyAlignment="0" applyProtection="0"/>
    <xf numFmtId="0" fontId="67" fillId="46" borderId="0" applyNumberFormat="0" applyBorder="0" applyAlignment="0" applyProtection="0"/>
    <xf numFmtId="0" fontId="67" fillId="47" borderId="0" applyNumberFormat="0" applyBorder="0" applyAlignment="0" applyProtection="0"/>
    <xf numFmtId="0" fontId="67" fillId="48" borderId="0" applyNumberFormat="0" applyBorder="0" applyAlignment="0" applyProtection="0"/>
    <xf numFmtId="0" fontId="67" fillId="43" borderId="0" applyNumberFormat="0" applyBorder="0" applyAlignment="0" applyProtection="0"/>
    <xf numFmtId="0" fontId="67" fillId="46" borderId="0" applyNumberFormat="0" applyBorder="0" applyAlignment="0" applyProtection="0"/>
    <xf numFmtId="0" fontId="67" fillId="49" borderId="0" applyNumberFormat="0" applyBorder="0" applyAlignment="0" applyProtection="0"/>
    <xf numFmtId="0" fontId="70" fillId="50" borderId="0" applyNumberFormat="0" applyBorder="0" applyAlignment="0" applyProtection="0"/>
    <xf numFmtId="0" fontId="70" fillId="47" borderId="0" applyNumberFormat="0" applyBorder="0" applyAlignment="0" applyProtection="0"/>
    <xf numFmtId="0" fontId="70" fillId="48" borderId="0" applyNumberFormat="0" applyBorder="0" applyAlignment="0" applyProtection="0"/>
    <xf numFmtId="0" fontId="70" fillId="51" borderId="0" applyNumberFormat="0" applyBorder="0" applyAlignment="0" applyProtection="0"/>
    <xf numFmtId="0" fontId="70" fillId="52" borderId="0" applyNumberFormat="0" applyBorder="0" applyAlignment="0" applyProtection="0"/>
    <xf numFmtId="0" fontId="70" fillId="53" borderId="0" applyNumberFormat="0" applyBorder="0" applyAlignment="0" applyProtection="0"/>
    <xf numFmtId="0" fontId="70" fillId="54" borderId="0" applyNumberFormat="0" applyBorder="0" applyAlignment="0" applyProtection="0"/>
    <xf numFmtId="0" fontId="70" fillId="55" borderId="0" applyNumberFormat="0" applyBorder="0" applyAlignment="0" applyProtection="0"/>
    <xf numFmtId="0" fontId="70" fillId="56" borderId="0" applyNumberFormat="0" applyBorder="0" applyAlignment="0" applyProtection="0"/>
    <xf numFmtId="0" fontId="70" fillId="51" borderId="0" applyNumberFormat="0" applyBorder="0" applyAlignment="0" applyProtection="0"/>
    <xf numFmtId="0" fontId="70" fillId="52" borderId="0" applyNumberFormat="0" applyBorder="0" applyAlignment="0" applyProtection="0"/>
    <xf numFmtId="0" fontId="70" fillId="57" borderId="0" applyNumberFormat="0" applyBorder="0" applyAlignment="0" applyProtection="0"/>
    <xf numFmtId="0" fontId="74" fillId="41" borderId="0" applyNumberFormat="0" applyBorder="0" applyAlignment="0" applyProtection="0"/>
    <xf numFmtId="0" fontId="82" fillId="59" borderId="16" applyNumberFormat="0" applyAlignment="0" applyProtection="0"/>
    <xf numFmtId="191" fontId="57" fillId="0" borderId="0" applyFont="0" applyFill="0" applyBorder="0" applyAlignment="0" applyProtection="0"/>
    <xf numFmtId="191" fontId="57" fillId="0" borderId="0" applyFont="0" applyFill="0" applyBorder="0" applyAlignment="0" applyProtection="0"/>
    <xf numFmtId="0" fontId="85" fillId="0" borderId="0" applyNumberFormat="0" applyFill="0" applyBorder="0" applyAlignment="0" applyProtection="0"/>
    <xf numFmtId="0" fontId="89" fillId="42" borderId="0" applyNumberFormat="0" applyBorder="0" applyAlignment="0" applyProtection="0"/>
    <xf numFmtId="0" fontId="93" fillId="0" borderId="17" applyNumberFormat="0" applyFill="0" applyAlignment="0" applyProtection="0"/>
    <xf numFmtId="0" fontId="96" fillId="0" borderId="18" applyNumberFormat="0" applyFill="0" applyAlignment="0" applyProtection="0"/>
    <xf numFmtId="0" fontId="99" fillId="0" borderId="19" applyNumberFormat="0" applyFill="0" applyAlignment="0" applyProtection="0"/>
    <xf numFmtId="0" fontId="99" fillId="0" borderId="0" applyNumberFormat="0" applyFill="0" applyBorder="0" applyAlignment="0" applyProtection="0"/>
    <xf numFmtId="0" fontId="107" fillId="0" borderId="20" applyNumberFormat="0" applyFill="0" applyAlignment="0" applyProtection="0"/>
    <xf numFmtId="0" fontId="110" fillId="60" borderId="0" applyNumberFormat="0" applyBorder="0" applyAlignment="0" applyProtection="0"/>
    <xf numFmtId="9" fontId="57" fillId="0" borderId="0" applyFont="0" applyFill="0" applyBorder="0" applyAlignment="0" applyProtection="0"/>
    <xf numFmtId="9" fontId="57" fillId="0" borderId="0" applyFont="0" applyFill="0" applyBorder="0" applyAlignment="0" applyProtection="0"/>
    <xf numFmtId="0" fontId="121" fillId="0" borderId="0" applyNumberFormat="0" applyFill="0" applyBorder="0" applyAlignment="0" applyProtection="0"/>
    <xf numFmtId="44" fontId="60" fillId="0" borderId="0" applyFont="0" applyFill="0" applyBorder="0" applyAlignment="0" applyProtection="0"/>
    <xf numFmtId="0" fontId="60" fillId="0" borderId="0"/>
    <xf numFmtId="44" fontId="45" fillId="0" borderId="0" applyFont="0" applyFill="0" applyBorder="0" applyAlignment="0" applyProtection="0"/>
    <xf numFmtId="0" fontId="60" fillId="0" borderId="0"/>
    <xf numFmtId="43" fontId="60" fillId="0" borderId="0" applyFont="0" applyFill="0" applyBorder="0" applyAlignment="0" applyProtection="0"/>
    <xf numFmtId="43" fontId="45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43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0" fontId="158" fillId="59" borderId="16" applyNumberFormat="0" applyAlignment="0" applyProtection="0"/>
    <xf numFmtId="44" fontId="45" fillId="0" borderId="0" applyFont="0" applyFill="0" applyBorder="0" applyAlignment="0" applyProtection="0"/>
    <xf numFmtId="0" fontId="175" fillId="42" borderId="0" applyNumberFormat="0" applyBorder="0" applyAlignment="0" applyProtection="0"/>
    <xf numFmtId="0" fontId="33" fillId="0" borderId="0"/>
    <xf numFmtId="0" fontId="33" fillId="0" borderId="0"/>
    <xf numFmtId="0" fontId="33" fillId="0" borderId="0"/>
    <xf numFmtId="9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159" fillId="0" borderId="0" applyFont="0" applyFill="0" applyBorder="0" applyAlignment="0" applyProtection="0">
      <alignment horizontal="right"/>
    </xf>
    <xf numFmtId="43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33" fillId="0" borderId="0"/>
    <xf numFmtId="0" fontId="4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66" fillId="0" borderId="0"/>
    <xf numFmtId="0" fontId="33" fillId="0" borderId="0"/>
    <xf numFmtId="0" fontId="33" fillId="0" borderId="0"/>
    <xf numFmtId="0" fontId="45" fillId="0" borderId="0"/>
    <xf numFmtId="0" fontId="45" fillId="0" borderId="0"/>
    <xf numFmtId="0" fontId="60" fillId="0" borderId="0"/>
    <xf numFmtId="0" fontId="45" fillId="0" borderId="0"/>
    <xf numFmtId="0" fontId="33" fillId="0" borderId="0"/>
    <xf numFmtId="179" fontId="60" fillId="0" borderId="0"/>
    <xf numFmtId="0" fontId="127" fillId="0" borderId="0"/>
    <xf numFmtId="0" fontId="199" fillId="58" borderId="22" applyNumberFormat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0" fontId="33" fillId="0" borderId="0"/>
    <xf numFmtId="0" fontId="215" fillId="0" borderId="0" applyNumberForma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0" fontId="33" fillId="0" borderId="0"/>
    <xf numFmtId="0" fontId="60" fillId="0" borderId="0"/>
    <xf numFmtId="0" fontId="33" fillId="0" borderId="0"/>
    <xf numFmtId="0" fontId="33" fillId="0" borderId="0"/>
    <xf numFmtId="0" fontId="45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5" fillId="0" borderId="0"/>
    <xf numFmtId="0" fontId="4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9" fontId="4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45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66" fillId="0" borderId="0"/>
    <xf numFmtId="0" fontId="33" fillId="0" borderId="0"/>
    <xf numFmtId="0" fontId="33" fillId="0" borderId="0"/>
    <xf numFmtId="0" fontId="33" fillId="0" borderId="0"/>
    <xf numFmtId="0" fontId="4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43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9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0" fontId="43" fillId="0" borderId="0"/>
    <xf numFmtId="0" fontId="33" fillId="0" borderId="0"/>
    <xf numFmtId="0" fontId="33" fillId="0" borderId="0"/>
    <xf numFmtId="44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0" fontId="33" fillId="0" borderId="0"/>
    <xf numFmtId="0" fontId="33" fillId="30" borderId="0" applyNumberFormat="0" applyBorder="0" applyAlignment="0" applyProtection="0"/>
    <xf numFmtId="0" fontId="33" fillId="0" borderId="0"/>
    <xf numFmtId="0" fontId="33" fillId="21" borderId="0" applyNumberFormat="0" applyBorder="0" applyAlignment="0" applyProtection="0"/>
    <xf numFmtId="0" fontId="33" fillId="18" borderId="0" applyNumberFormat="0" applyBorder="0" applyAlignment="0" applyProtection="0"/>
    <xf numFmtId="0" fontId="33" fillId="22" borderId="0" applyNumberFormat="0" applyBorder="0" applyAlignment="0" applyProtection="0"/>
    <xf numFmtId="0" fontId="174" fillId="66" borderId="0" applyNumberFormat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44" fontId="67" fillId="0" borderId="0" applyFont="0" applyFill="0" applyBorder="0" applyAlignment="0" applyProtection="0"/>
    <xf numFmtId="0" fontId="33" fillId="0" borderId="0"/>
    <xf numFmtId="44" fontId="60" fillId="0" borderId="0" applyFont="0" applyFill="0" applyBorder="0" applyAlignment="0" applyProtection="0"/>
    <xf numFmtId="0" fontId="60" fillId="0" borderId="0"/>
    <xf numFmtId="0" fontId="60" fillId="0" borderId="0"/>
    <xf numFmtId="43" fontId="60" fillId="0" borderId="0" applyFont="0" applyFill="0" applyBorder="0" applyAlignment="0" applyProtection="0"/>
    <xf numFmtId="0" fontId="33" fillId="34" borderId="0" applyNumberFormat="0" applyBorder="0" applyAlignment="0" applyProtection="0"/>
    <xf numFmtId="0" fontId="160" fillId="0" borderId="0"/>
    <xf numFmtId="0" fontId="33" fillId="0" borderId="0"/>
    <xf numFmtId="0" fontId="33" fillId="0" borderId="0"/>
    <xf numFmtId="0" fontId="33" fillId="38" borderId="0" applyNumberFormat="0" applyBorder="0" applyAlignment="0" applyProtection="0"/>
    <xf numFmtId="0" fontId="33" fillId="37" borderId="0" applyNumberFormat="0" applyBorder="0" applyAlignment="0" applyProtection="0"/>
    <xf numFmtId="0" fontId="67" fillId="0" borderId="0"/>
    <xf numFmtId="0" fontId="33" fillId="0" borderId="0"/>
    <xf numFmtId="0" fontId="160" fillId="0" borderId="0"/>
    <xf numFmtId="0" fontId="49" fillId="0" borderId="0"/>
    <xf numFmtId="0" fontId="67" fillId="0" borderId="0"/>
    <xf numFmtId="0" fontId="33" fillId="0" borderId="0"/>
    <xf numFmtId="0" fontId="67" fillId="0" borderId="0"/>
    <xf numFmtId="0" fontId="60" fillId="0" borderId="0"/>
    <xf numFmtId="179" fontId="60" fillId="0" borderId="0"/>
    <xf numFmtId="0" fontId="33" fillId="33" borderId="0" applyNumberFormat="0" applyBorder="0" applyAlignment="0" applyProtection="0"/>
    <xf numFmtId="0" fontId="33" fillId="0" borderId="0"/>
    <xf numFmtId="0" fontId="33" fillId="26" borderId="0" applyNumberFormat="0" applyBorder="0" applyAlignment="0" applyProtection="0"/>
    <xf numFmtId="0" fontId="67" fillId="0" borderId="0"/>
    <xf numFmtId="0" fontId="49" fillId="0" borderId="0"/>
    <xf numFmtId="0" fontId="33" fillId="17" borderId="0" applyNumberFormat="0" applyBorder="0" applyAlignment="0" applyProtection="0"/>
    <xf numFmtId="0" fontId="60" fillId="0" borderId="0"/>
    <xf numFmtId="0" fontId="33" fillId="0" borderId="0"/>
    <xf numFmtId="0" fontId="33" fillId="0" borderId="0"/>
    <xf numFmtId="0" fontId="151" fillId="41" borderId="0" applyNumberFormat="0" applyBorder="0" applyAlignment="0" applyProtection="0"/>
    <xf numFmtId="0" fontId="45" fillId="0" borderId="0"/>
    <xf numFmtId="0" fontId="33" fillId="0" borderId="0"/>
    <xf numFmtId="0" fontId="33" fillId="0" borderId="0"/>
    <xf numFmtId="0" fontId="33" fillId="29" borderId="0" applyNumberFormat="0" applyBorder="0" applyAlignment="0" applyProtection="0"/>
    <xf numFmtId="43" fontId="49" fillId="0" borderId="0" applyFont="0" applyFill="0" applyBorder="0" applyAlignment="0" applyProtection="0"/>
    <xf numFmtId="0" fontId="33" fillId="0" borderId="0"/>
    <xf numFmtId="0" fontId="67" fillId="0" borderId="0"/>
    <xf numFmtId="0" fontId="33" fillId="0" borderId="0"/>
    <xf numFmtId="0" fontId="33" fillId="25" borderId="0" applyNumberFormat="0" applyBorder="0" applyAlignment="0" applyProtection="0"/>
    <xf numFmtId="0" fontId="33" fillId="0" borderId="0"/>
    <xf numFmtId="0" fontId="33" fillId="0" borderId="0"/>
    <xf numFmtId="0" fontId="33" fillId="0" borderId="0"/>
    <xf numFmtId="43" fontId="70" fillId="0" borderId="0" applyFont="0" applyFill="0" applyBorder="0" applyAlignment="0" applyProtection="0"/>
    <xf numFmtId="43" fontId="49" fillId="0" borderId="0" applyFont="0" applyFill="0" applyBorder="0" applyAlignment="0" applyProtection="0"/>
    <xf numFmtId="0" fontId="59" fillId="42" borderId="0" applyNumberFormat="0" applyBorder="0" applyAlignment="0" applyProtection="0"/>
    <xf numFmtId="0" fontId="33" fillId="0" borderId="0"/>
    <xf numFmtId="44" fontId="49" fillId="0" borderId="0" applyFont="0" applyFill="0" applyBorder="0" applyAlignment="0" applyProtection="0"/>
    <xf numFmtId="0" fontId="33" fillId="0" borderId="0"/>
    <xf numFmtId="0" fontId="33" fillId="0" borderId="0"/>
    <xf numFmtId="0" fontId="160" fillId="0" borderId="0"/>
    <xf numFmtId="0" fontId="159" fillId="0" borderId="0" applyFont="0" applyFill="0" applyBorder="0" applyAlignment="0" applyProtection="0">
      <alignment horizontal="right"/>
    </xf>
    <xf numFmtId="0" fontId="33" fillId="0" borderId="0"/>
    <xf numFmtId="0" fontId="33" fillId="0" borderId="0"/>
    <xf numFmtId="9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9" fontId="45" fillId="0" borderId="0" applyFont="0" applyFill="0" applyBorder="0" applyAlignment="0" applyProtection="0"/>
    <xf numFmtId="0" fontId="222" fillId="0" borderId="0"/>
    <xf numFmtId="0" fontId="33" fillId="0" borderId="0"/>
    <xf numFmtId="44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43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9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43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43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43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9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0" fontId="33" fillId="0" borderId="0"/>
    <xf numFmtId="0" fontId="33" fillId="0" borderId="0"/>
    <xf numFmtId="44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9" fontId="33" fillId="0" borderId="0" applyFont="0" applyFill="0" applyBorder="0" applyAlignment="0" applyProtection="0"/>
    <xf numFmtId="0" fontId="33" fillId="15" borderId="13" applyNumberFormat="0" applyFont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15" borderId="13" applyNumberFormat="0" applyFont="0" applyAlignment="0" applyProtection="0"/>
    <xf numFmtId="0" fontId="33" fillId="17" borderId="0" applyNumberFormat="0" applyBorder="0" applyAlignment="0" applyProtection="0"/>
    <xf numFmtId="0" fontId="33" fillId="18" borderId="0" applyNumberFormat="0" applyBorder="0" applyAlignment="0" applyProtection="0"/>
    <xf numFmtId="0" fontId="33" fillId="21" borderId="0" applyNumberFormat="0" applyBorder="0" applyAlignment="0" applyProtection="0"/>
    <xf numFmtId="0" fontId="33" fillId="22" borderId="0" applyNumberFormat="0" applyBorder="0" applyAlignment="0" applyProtection="0"/>
    <xf numFmtId="0" fontId="33" fillId="25" borderId="0" applyNumberFormat="0" applyBorder="0" applyAlignment="0" applyProtection="0"/>
    <xf numFmtId="0" fontId="33" fillId="26" borderId="0" applyNumberFormat="0" applyBorder="0" applyAlignment="0" applyProtection="0"/>
    <xf numFmtId="0" fontId="33" fillId="29" borderId="0" applyNumberFormat="0" applyBorder="0" applyAlignment="0" applyProtection="0"/>
    <xf numFmtId="0" fontId="33" fillId="30" borderId="0" applyNumberFormat="0" applyBorder="0" applyAlignment="0" applyProtection="0"/>
    <xf numFmtId="0" fontId="33" fillId="33" borderId="0" applyNumberFormat="0" applyBorder="0" applyAlignment="0" applyProtection="0"/>
    <xf numFmtId="0" fontId="33" fillId="34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9" fontId="33" fillId="0" borderId="0" applyFont="0" applyFill="0" applyBorder="0" applyAlignment="0" applyProtection="0"/>
    <xf numFmtId="0" fontId="165" fillId="0" borderId="0"/>
    <xf numFmtId="0" fontId="32" fillId="0" borderId="0"/>
    <xf numFmtId="9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43" fillId="0" borderId="0" applyFont="0" applyFill="0" applyBorder="0" applyAlignment="0" applyProtection="0"/>
    <xf numFmtId="44" fontId="32" fillId="0" borderId="0" applyFont="0" applyFill="0" applyBorder="0" applyAlignment="0" applyProtection="0"/>
    <xf numFmtId="44" fontId="43" fillId="0" borderId="0" applyFont="0" applyFill="0" applyBorder="0" applyAlignment="0" applyProtection="0"/>
    <xf numFmtId="0" fontId="91" fillId="9" borderId="0" applyNumberFormat="0" applyBorder="0" applyAlignment="0" applyProtection="0"/>
    <xf numFmtId="0" fontId="32" fillId="0" borderId="0"/>
    <xf numFmtId="0" fontId="32" fillId="0" borderId="0"/>
    <xf numFmtId="9" fontId="32" fillId="0" borderId="0" applyFont="0" applyFill="0" applyBorder="0" applyAlignment="0" applyProtection="0"/>
    <xf numFmtId="0" fontId="31" fillId="0" borderId="0"/>
    <xf numFmtId="0" fontId="31" fillId="0" borderId="0"/>
    <xf numFmtId="9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4" fontId="31" fillId="0" borderId="0" applyFont="0" applyFill="0" applyBorder="0" applyAlignment="0" applyProtection="0"/>
    <xf numFmtId="0" fontId="31" fillId="0" borderId="0"/>
    <xf numFmtId="0" fontId="31" fillId="0" borderId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31" fillId="0" borderId="0"/>
    <xf numFmtId="0" fontId="30" fillId="0" borderId="0"/>
    <xf numFmtId="44" fontId="30" fillId="0" borderId="0" applyFont="0" applyFill="0" applyBorder="0" applyAlignment="0" applyProtection="0"/>
    <xf numFmtId="43" fontId="45" fillId="0" borderId="0" applyFont="0" applyFill="0" applyBorder="0" applyAlignment="0" applyProtection="0"/>
    <xf numFmtId="0" fontId="159" fillId="0" borderId="0" applyFont="0" applyFill="0" applyBorder="0" applyAlignment="0" applyProtection="0">
      <alignment horizontal="right"/>
    </xf>
    <xf numFmtId="0" fontId="191" fillId="45" borderId="15" applyNumberFormat="0" applyAlignment="0" applyProtection="0"/>
    <xf numFmtId="0" fontId="191" fillId="45" borderId="15" applyNumberFormat="0" applyAlignment="0" applyProtection="0"/>
    <xf numFmtId="0" fontId="191" fillId="45" borderId="15" applyNumberFormat="0" applyAlignment="0" applyProtection="0"/>
    <xf numFmtId="0" fontId="45" fillId="0" borderId="0"/>
    <xf numFmtId="0" fontId="45" fillId="0" borderId="0"/>
    <xf numFmtId="0" fontId="60" fillId="0" borderId="0"/>
    <xf numFmtId="0" fontId="60" fillId="0" borderId="0"/>
    <xf numFmtId="0" fontId="60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60" fillId="0" borderId="0"/>
    <xf numFmtId="0" fontId="60" fillId="0" borderId="0"/>
    <xf numFmtId="0" fontId="60" fillId="0" borderId="0"/>
    <xf numFmtId="0" fontId="29" fillId="0" borderId="0"/>
    <xf numFmtId="43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0" fontId="28" fillId="0" borderId="0"/>
    <xf numFmtId="43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223" fillId="0" borderId="0"/>
    <xf numFmtId="0" fontId="27" fillId="0" borderId="0"/>
    <xf numFmtId="43" fontId="27" fillId="0" borderId="0" applyFont="0" applyFill="0" applyBorder="0" applyAlignment="0" applyProtection="0"/>
    <xf numFmtId="0" fontId="26" fillId="0" borderId="0"/>
    <xf numFmtId="9" fontId="26" fillId="0" borderId="0" applyFont="0" applyFill="0" applyBorder="0" applyAlignment="0" applyProtection="0"/>
    <xf numFmtId="44" fontId="26" fillId="0" borderId="0" applyFont="0" applyFill="0" applyBorder="0" applyAlignment="0" applyProtection="0"/>
    <xf numFmtId="0" fontId="25" fillId="0" borderId="0"/>
    <xf numFmtId="9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60" fillId="0" borderId="0"/>
    <xf numFmtId="43" fontId="60" fillId="0" borderId="0" applyFont="0" applyFill="0" applyBorder="0" applyAlignment="0" applyProtection="0"/>
    <xf numFmtId="0" fontId="24" fillId="0" borderId="0"/>
    <xf numFmtId="43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9" fontId="131" fillId="0" borderId="0" applyFont="0" applyFill="0" applyBorder="0" applyAlignment="0" applyProtection="0"/>
    <xf numFmtId="0" fontId="22" fillId="0" borderId="0"/>
    <xf numFmtId="0" fontId="21" fillId="0" borderId="0"/>
    <xf numFmtId="9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43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0" fontId="17" fillId="0" borderId="0"/>
    <xf numFmtId="9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6" fillId="0" borderId="0"/>
    <xf numFmtId="9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5" fillId="0" borderId="0"/>
    <xf numFmtId="43" fontId="15" fillId="0" borderId="0" applyFont="0" applyFill="0" applyBorder="0" applyAlignment="0" applyProtection="0"/>
    <xf numFmtId="0" fontId="14" fillId="0" borderId="0"/>
    <xf numFmtId="43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244" fillId="0" borderId="0"/>
    <xf numFmtId="0" fontId="13" fillId="0" borderId="0"/>
    <xf numFmtId="43" fontId="13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60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223" fillId="0" borderId="0"/>
    <xf numFmtId="0" fontId="9" fillId="0" borderId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244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39">
    <xf numFmtId="0" fontId="0" fillId="0" borderId="0" xfId="0"/>
    <xf numFmtId="1" fontId="54" fillId="4" borderId="0" xfId="51" applyNumberFormat="1" applyFont="1" applyFill="1" applyAlignment="1">
      <alignment horizontal="center" vertical="center"/>
    </xf>
    <xf numFmtId="0" fontId="54" fillId="4" borderId="0" xfId="51" applyFont="1" applyFill="1" applyAlignment="1">
      <alignment vertical="center"/>
    </xf>
    <xf numFmtId="172" fontId="54" fillId="4" borderId="0" xfId="51" applyNumberFormat="1" applyFont="1" applyFill="1" applyAlignment="1">
      <alignment vertical="center"/>
    </xf>
    <xf numFmtId="0" fontId="54" fillId="4" borderId="0" xfId="51" applyFont="1" applyFill="1" applyAlignment="1">
      <alignment horizontal="left" vertical="center"/>
    </xf>
    <xf numFmtId="9" fontId="54" fillId="4" borderId="0" xfId="51" applyNumberFormat="1" applyFont="1" applyFill="1" applyAlignment="1">
      <alignment vertical="center"/>
    </xf>
    <xf numFmtId="164" fontId="54" fillId="4" borderId="0" xfId="2" applyNumberFormat="1" applyFont="1" applyFill="1" applyBorder="1" applyAlignment="1">
      <alignment vertical="center"/>
    </xf>
    <xf numFmtId="164" fontId="54" fillId="4" borderId="2" xfId="2" applyNumberFormat="1" applyFont="1" applyFill="1" applyBorder="1" applyAlignment="1">
      <alignment vertical="center"/>
    </xf>
    <xf numFmtId="0" fontId="55" fillId="4" borderId="0" xfId="51" applyFont="1" applyFill="1" applyAlignment="1">
      <alignment horizontal="left" vertical="center"/>
    </xf>
    <xf numFmtId="164" fontId="55" fillId="4" borderId="0" xfId="2" applyNumberFormat="1" applyFont="1" applyFill="1" applyAlignment="1">
      <alignment vertical="center"/>
    </xf>
    <xf numFmtId="164" fontId="55" fillId="5" borderId="0" xfId="2" applyNumberFormat="1" applyFont="1" applyFill="1" applyAlignment="1">
      <alignment vertical="center"/>
    </xf>
    <xf numFmtId="164" fontId="54" fillId="4" borderId="0" xfId="2" applyNumberFormat="1" applyFont="1" applyFill="1" applyAlignment="1">
      <alignment vertical="center"/>
    </xf>
    <xf numFmtId="0" fontId="55" fillId="8" borderId="0" xfId="51" applyFont="1" applyFill="1" applyAlignment="1">
      <alignment vertical="center"/>
    </xf>
    <xf numFmtId="0" fontId="55" fillId="8" borderId="0" xfId="51" applyFont="1" applyFill="1" applyAlignment="1">
      <alignment horizontal="center" vertical="center"/>
    </xf>
    <xf numFmtId="1" fontId="55" fillId="8" borderId="0" xfId="51" applyNumberFormat="1" applyFont="1" applyFill="1" applyAlignment="1">
      <alignment horizontal="center" vertical="center"/>
    </xf>
    <xf numFmtId="0" fontId="54" fillId="8" borderId="0" xfId="51" applyFont="1" applyFill="1" applyAlignment="1">
      <alignment horizontal="center" vertical="center"/>
    </xf>
    <xf numFmtId="172" fontId="54" fillId="8" borderId="0" xfId="51" applyNumberFormat="1" applyFont="1" applyFill="1" applyAlignment="1">
      <alignment vertical="center"/>
    </xf>
    <xf numFmtId="164" fontId="55" fillId="8" borderId="0" xfId="2" applyNumberFormat="1" applyFont="1" applyFill="1" applyAlignment="1">
      <alignment vertical="center"/>
    </xf>
    <xf numFmtId="170" fontId="55" fillId="4" borderId="2" xfId="48" applyNumberFormat="1" applyFont="1" applyFill="1" applyBorder="1" applyAlignment="1">
      <alignment horizontal="center" vertical="center"/>
    </xf>
    <xf numFmtId="1" fontId="55" fillId="4" borderId="2" xfId="53" applyNumberFormat="1" applyFont="1" applyFill="1" applyBorder="1" applyAlignment="1">
      <alignment horizontal="center" vertical="center"/>
    </xf>
    <xf numFmtId="0" fontId="55" fillId="4" borderId="2" xfId="53" applyFont="1" applyFill="1" applyBorder="1" applyAlignment="1">
      <alignment horizontal="center" vertical="center"/>
    </xf>
    <xf numFmtId="0" fontId="45" fillId="3" borderId="0" xfId="53" applyFill="1" applyAlignment="1">
      <alignment vertical="center"/>
    </xf>
    <xf numFmtId="0" fontId="45" fillId="3" borderId="0" xfId="50" applyFill="1" applyAlignment="1">
      <alignment vertical="center"/>
    </xf>
    <xf numFmtId="0" fontId="54" fillId="3" borderId="0" xfId="51" applyFont="1" applyFill="1" applyAlignment="1">
      <alignment vertical="center"/>
    </xf>
    <xf numFmtId="0" fontId="54" fillId="4" borderId="0" xfId="53" applyFont="1" applyFill="1" applyAlignment="1">
      <alignment vertical="center"/>
    </xf>
    <xf numFmtId="166" fontId="55" fillId="4" borderId="0" xfId="57" applyNumberFormat="1" applyFont="1" applyFill="1" applyAlignment="1">
      <alignment horizontal="center" vertical="center"/>
    </xf>
    <xf numFmtId="0" fontId="54" fillId="3" borderId="0" xfId="53" applyFont="1" applyFill="1" applyAlignment="1">
      <alignment vertical="center"/>
    </xf>
    <xf numFmtId="1" fontId="54" fillId="4" borderId="0" xfId="53" applyNumberFormat="1" applyFont="1" applyFill="1" applyAlignment="1">
      <alignment vertical="center"/>
    </xf>
    <xf numFmtId="0" fontId="54" fillId="4" borderId="0" xfId="53" applyFont="1" applyFill="1" applyAlignment="1">
      <alignment horizontal="center" vertical="center"/>
    </xf>
    <xf numFmtId="1" fontId="54" fillId="4" borderId="0" xfId="53" quotePrefix="1" applyNumberFormat="1" applyFont="1" applyFill="1" applyAlignment="1">
      <alignment horizontal="center" vertical="center"/>
    </xf>
    <xf numFmtId="0" fontId="54" fillId="4" borderId="0" xfId="53" applyFont="1" applyFill="1" applyAlignment="1">
      <alignment horizontal="left" vertical="center"/>
    </xf>
    <xf numFmtId="0" fontId="54" fillId="5" borderId="0" xfId="53" applyFont="1" applyFill="1" applyAlignment="1">
      <alignment vertical="center"/>
    </xf>
    <xf numFmtId="0" fontId="54" fillId="3" borderId="0" xfId="48" applyFont="1" applyFill="1" applyAlignment="1">
      <alignment vertical="center"/>
    </xf>
    <xf numFmtId="0" fontId="55" fillId="4" borderId="0" xfId="53" applyFont="1" applyFill="1" applyAlignment="1">
      <alignment horizontal="left" vertical="center"/>
    </xf>
    <xf numFmtId="164" fontId="55" fillId="4" borderId="0" xfId="1" applyNumberFormat="1" applyFont="1" applyFill="1" applyAlignment="1">
      <alignment vertical="center"/>
    </xf>
    <xf numFmtId="165" fontId="54" fillId="4" borderId="0" xfId="53" applyNumberFormat="1" applyFont="1" applyFill="1" applyAlignment="1">
      <alignment vertical="center"/>
    </xf>
    <xf numFmtId="0" fontId="55" fillId="4" borderId="0" xfId="57" applyFont="1" applyFill="1" applyAlignment="1">
      <alignment horizontal="center" vertical="center"/>
    </xf>
    <xf numFmtId="0" fontId="54" fillId="5" borderId="0" xfId="48" applyFont="1" applyFill="1" applyAlignment="1">
      <alignment vertical="center"/>
    </xf>
    <xf numFmtId="176" fontId="54" fillId="4" borderId="0" xfId="48" applyNumberFormat="1" applyFont="1" applyFill="1" applyAlignment="1">
      <alignment horizontal="center" vertical="center"/>
    </xf>
    <xf numFmtId="176" fontId="54" fillId="5" borderId="0" xfId="48" applyNumberFormat="1" applyFont="1" applyFill="1" applyAlignment="1">
      <alignment horizontal="center" vertical="center"/>
    </xf>
    <xf numFmtId="1" fontId="54" fillId="4" borderId="0" xfId="48" applyNumberFormat="1" applyFont="1" applyFill="1" applyAlignment="1">
      <alignment vertical="center"/>
    </xf>
    <xf numFmtId="1" fontId="55" fillId="4" borderId="0" xfId="48" applyNumberFormat="1" applyFont="1" applyFill="1" applyAlignment="1">
      <alignment vertical="center"/>
    </xf>
    <xf numFmtId="3" fontId="55" fillId="4" borderId="0" xfId="48" applyNumberFormat="1" applyFont="1" applyFill="1" applyAlignment="1">
      <alignment horizontal="center" vertical="center"/>
    </xf>
    <xf numFmtId="0" fontId="55" fillId="4" borderId="0" xfId="48" applyFont="1" applyFill="1" applyAlignment="1">
      <alignment horizontal="center" vertical="center"/>
    </xf>
    <xf numFmtId="0" fontId="55" fillId="4" borderId="0" xfId="48" applyFont="1" applyFill="1" applyAlignment="1">
      <alignment vertical="center"/>
    </xf>
    <xf numFmtId="164" fontId="54" fillId="4" borderId="0" xfId="1" applyNumberFormat="1" applyFont="1" applyFill="1" applyAlignment="1">
      <alignment vertical="center"/>
    </xf>
    <xf numFmtId="164" fontId="54" fillId="4" borderId="0" xfId="1" applyNumberFormat="1" applyFont="1" applyFill="1" applyBorder="1" applyAlignment="1">
      <alignment vertical="center"/>
    </xf>
    <xf numFmtId="3" fontId="55" fillId="4" borderId="0" xfId="1" applyNumberFormat="1" applyFont="1" applyFill="1" applyBorder="1" applyAlignment="1">
      <alignment horizontal="center" vertical="center"/>
    </xf>
    <xf numFmtId="164" fontId="55" fillId="4" borderId="0" xfId="1" applyNumberFormat="1" applyFont="1" applyFill="1" applyBorder="1" applyAlignment="1">
      <alignment vertical="center"/>
    </xf>
    <xf numFmtId="3" fontId="55" fillId="4" borderId="0" xfId="57" applyNumberFormat="1" applyFont="1" applyFill="1" applyAlignment="1">
      <alignment horizontal="center" vertical="center"/>
    </xf>
    <xf numFmtId="0" fontId="55" fillId="3" borderId="0" xfId="53" applyFont="1" applyFill="1" applyAlignment="1">
      <alignment vertical="center"/>
    </xf>
    <xf numFmtId="1" fontId="45" fillId="3" borderId="0" xfId="53" applyNumberFormat="1" applyFill="1" applyAlignment="1">
      <alignment vertical="center"/>
    </xf>
    <xf numFmtId="1" fontId="55" fillId="3" borderId="0" xfId="53" applyNumberFormat="1" applyFont="1" applyFill="1" applyAlignment="1">
      <alignment horizontal="center" vertical="center"/>
    </xf>
    <xf numFmtId="0" fontId="57" fillId="3" borderId="0" xfId="53" applyFont="1" applyFill="1" applyAlignment="1">
      <alignment vertical="center"/>
    </xf>
    <xf numFmtId="167" fontId="45" fillId="3" borderId="0" xfId="53" applyNumberFormat="1" applyFill="1" applyAlignment="1">
      <alignment vertical="center"/>
    </xf>
    <xf numFmtId="165" fontId="57" fillId="3" borderId="0" xfId="59" applyNumberFormat="1" applyFont="1" applyFill="1" applyAlignment="1">
      <alignment vertical="center"/>
    </xf>
    <xf numFmtId="0" fontId="55" fillId="3" borderId="0" xfId="53" applyFont="1" applyFill="1" applyAlignment="1">
      <alignment horizontal="center" vertical="center"/>
    </xf>
    <xf numFmtId="0" fontId="57" fillId="3" borderId="2" xfId="53" applyFont="1" applyFill="1" applyBorder="1" applyAlignment="1">
      <alignment horizontal="center" vertical="center"/>
    </xf>
    <xf numFmtId="1" fontId="54" fillId="3" borderId="0" xfId="53" applyNumberFormat="1" applyFont="1" applyFill="1" applyAlignment="1">
      <alignment vertical="center"/>
    </xf>
    <xf numFmtId="1" fontId="57" fillId="3" borderId="0" xfId="53" applyNumberFormat="1" applyFont="1" applyFill="1" applyAlignment="1">
      <alignment horizontal="left" vertical="center"/>
    </xf>
    <xf numFmtId="1" fontId="45" fillId="3" borderId="0" xfId="53" applyNumberFormat="1" applyFill="1" applyAlignment="1">
      <alignment horizontal="left" vertical="center"/>
    </xf>
    <xf numFmtId="1" fontId="57" fillId="3" borderId="0" xfId="53" applyNumberFormat="1" applyFont="1" applyFill="1" applyAlignment="1">
      <alignment vertical="center"/>
    </xf>
    <xf numFmtId="0" fontId="45" fillId="3" borderId="0" xfId="53" applyFill="1" applyAlignment="1">
      <alignment horizontal="left" vertical="center"/>
    </xf>
    <xf numFmtId="167" fontId="45" fillId="3" borderId="0" xfId="53" applyNumberFormat="1" applyFill="1" applyAlignment="1">
      <alignment horizontal="left" vertical="center"/>
    </xf>
    <xf numFmtId="10" fontId="45" fillId="3" borderId="0" xfId="53" applyNumberFormat="1" applyFill="1" applyAlignment="1">
      <alignment vertical="center"/>
    </xf>
    <xf numFmtId="3" fontId="54" fillId="4" borderId="0" xfId="1" applyNumberFormat="1" applyFont="1" applyFill="1" applyAlignment="1">
      <alignment horizontal="right" vertical="center"/>
    </xf>
    <xf numFmtId="1" fontId="55" fillId="4" borderId="0" xfId="51" applyNumberFormat="1" applyFont="1" applyFill="1" applyAlignment="1">
      <alignment horizontal="center" vertical="center"/>
    </xf>
    <xf numFmtId="2" fontId="54" fillId="4" borderId="0" xfId="51" applyNumberFormat="1" applyFont="1" applyFill="1" applyAlignment="1">
      <alignment horizontal="center" vertical="center"/>
    </xf>
    <xf numFmtId="2" fontId="54" fillId="4" borderId="0" xfId="51" quotePrefix="1" applyNumberFormat="1" applyFont="1" applyFill="1" applyAlignment="1">
      <alignment horizontal="center" vertical="center"/>
    </xf>
    <xf numFmtId="2" fontId="54" fillId="4" borderId="0" xfId="51" quotePrefix="1" applyNumberFormat="1" applyFont="1" applyFill="1" applyAlignment="1">
      <alignment horizontal="right" vertical="center"/>
    </xf>
    <xf numFmtId="2" fontId="54" fillId="0" borderId="0" xfId="51" applyNumberFormat="1" applyFont="1" applyAlignment="1">
      <alignment horizontal="center" vertical="center"/>
    </xf>
    <xf numFmtId="2" fontId="54" fillId="0" borderId="0" xfId="51" quotePrefix="1" applyNumberFormat="1" applyFont="1" applyAlignment="1">
      <alignment horizontal="left" vertical="center"/>
    </xf>
    <xf numFmtId="169" fontId="54" fillId="3" borderId="0" xfId="46" applyFont="1" applyFill="1" applyAlignment="1">
      <alignment vertical="center"/>
    </xf>
    <xf numFmtId="2" fontId="54" fillId="3" borderId="0" xfId="51" applyNumberFormat="1" applyFont="1" applyFill="1" applyAlignment="1">
      <alignment horizontal="center" vertical="center"/>
    </xf>
    <xf numFmtId="1" fontId="54" fillId="3" borderId="0" xfId="51" applyNumberFormat="1" applyFont="1" applyFill="1" applyAlignment="1">
      <alignment horizontal="right" vertical="center"/>
    </xf>
    <xf numFmtId="1" fontId="54" fillId="3" borderId="0" xfId="51" applyNumberFormat="1" applyFont="1" applyFill="1" applyAlignment="1">
      <alignment vertical="center"/>
    </xf>
    <xf numFmtId="166" fontId="54" fillId="3" borderId="0" xfId="51" applyNumberFormat="1" applyFont="1" applyFill="1" applyAlignment="1">
      <alignment vertical="center"/>
    </xf>
    <xf numFmtId="10" fontId="57" fillId="3" borderId="0" xfId="59" applyNumberFormat="1" applyFont="1" applyFill="1" applyAlignment="1">
      <alignment horizontal="right" vertical="center"/>
    </xf>
    <xf numFmtId="164" fontId="45" fillId="3" borderId="2" xfId="1" applyNumberFormat="1" applyFont="1" applyFill="1" applyBorder="1" applyAlignment="1">
      <alignment vertical="center"/>
    </xf>
    <xf numFmtId="3" fontId="55" fillId="4" borderId="3" xfId="1" applyNumberFormat="1" applyFont="1" applyFill="1" applyBorder="1" applyAlignment="1">
      <alignment horizontal="right" vertical="center"/>
    </xf>
    <xf numFmtId="0" fontId="54" fillId="3" borderId="0" xfId="50" applyFont="1" applyFill="1"/>
    <xf numFmtId="1" fontId="54" fillId="4" borderId="0" xfId="49" applyNumberFormat="1" applyFont="1" applyFill="1"/>
    <xf numFmtId="1" fontId="55" fillId="4" borderId="0" xfId="49" applyNumberFormat="1" applyFont="1" applyFill="1" applyAlignment="1">
      <alignment horizontal="center"/>
    </xf>
    <xf numFmtId="0" fontId="55" fillId="4" borderId="0" xfId="58" applyFont="1" applyFill="1" applyAlignment="1">
      <alignment horizontal="center"/>
    </xf>
    <xf numFmtId="0" fontId="54" fillId="3" borderId="0" xfId="49" applyFont="1" applyFill="1"/>
    <xf numFmtId="1" fontId="54" fillId="4" borderId="0" xfId="50" applyNumberFormat="1" applyFont="1" applyFill="1" applyAlignment="1">
      <alignment horizontal="center" vertical="top"/>
    </xf>
    <xf numFmtId="3" fontId="54" fillId="4" borderId="0" xfId="55" applyNumberFormat="1" applyFont="1" applyFill="1"/>
    <xf numFmtId="1" fontId="54" fillId="5" borderId="0" xfId="49" applyNumberFormat="1" applyFont="1" applyFill="1" applyAlignment="1">
      <alignment horizontal="center"/>
    </xf>
    <xf numFmtId="1" fontId="54" fillId="5" borderId="0" xfId="49" applyNumberFormat="1" applyFont="1" applyFill="1"/>
    <xf numFmtId="1" fontId="54" fillId="4" borderId="0" xfId="49" applyNumberFormat="1" applyFont="1" applyFill="1" applyAlignment="1">
      <alignment horizontal="center"/>
    </xf>
    <xf numFmtId="1" fontId="54" fillId="3" borderId="0" xfId="49" applyNumberFormat="1" applyFont="1" applyFill="1" applyAlignment="1">
      <alignment horizontal="center"/>
    </xf>
    <xf numFmtId="1" fontId="54" fillId="3" borderId="0" xfId="49" applyNumberFormat="1" applyFont="1" applyFill="1"/>
    <xf numFmtId="164" fontId="54" fillId="3" borderId="0" xfId="1" applyNumberFormat="1" applyFont="1" applyFill="1" applyBorder="1"/>
    <xf numFmtId="164" fontId="54" fillId="3" borderId="0" xfId="1" applyNumberFormat="1" applyFont="1" applyFill="1"/>
    <xf numFmtId="1" fontId="54" fillId="4" borderId="0" xfId="58" applyNumberFormat="1" applyFont="1" applyFill="1"/>
    <xf numFmtId="0" fontId="54" fillId="3" borderId="0" xfId="58" applyFont="1" applyFill="1"/>
    <xf numFmtId="0" fontId="55" fillId="4" borderId="2" xfId="58" applyFont="1" applyFill="1" applyBorder="1"/>
    <xf numFmtId="1" fontId="55" fillId="4" borderId="2" xfId="58" applyNumberFormat="1" applyFont="1" applyFill="1" applyBorder="1" applyAlignment="1">
      <alignment horizontal="center"/>
    </xf>
    <xf numFmtId="0" fontId="54" fillId="4" borderId="0" xfId="53" quotePrefix="1" applyFont="1" applyFill="1" applyAlignment="1">
      <alignment horizontal="center"/>
    </xf>
    <xf numFmtId="1" fontId="54" fillId="4" borderId="0" xfId="58" applyNumberFormat="1" applyFont="1" applyFill="1" applyAlignment="1">
      <alignment horizontal="center"/>
    </xf>
    <xf numFmtId="0" fontId="54" fillId="4" borderId="0" xfId="58" applyFont="1" applyFill="1" applyAlignment="1">
      <alignment horizontal="left" indent="2"/>
    </xf>
    <xf numFmtId="3" fontId="55" fillId="5" borderId="0" xfId="58" applyNumberFormat="1" applyFont="1" applyFill="1"/>
    <xf numFmtId="0" fontId="54" fillId="3" borderId="0" xfId="53" applyFont="1" applyFill="1"/>
    <xf numFmtId="0" fontId="54" fillId="4" borderId="0" xfId="58" applyFont="1" applyFill="1" applyAlignment="1">
      <alignment horizontal="left" indent="3"/>
    </xf>
    <xf numFmtId="3" fontId="55" fillId="4" borderId="0" xfId="58" applyNumberFormat="1" applyFont="1" applyFill="1"/>
    <xf numFmtId="3" fontId="54" fillId="5" borderId="0" xfId="58" applyNumberFormat="1" applyFont="1" applyFill="1"/>
    <xf numFmtId="0" fontId="54" fillId="7" borderId="0" xfId="53" applyFont="1" applyFill="1"/>
    <xf numFmtId="0" fontId="54" fillId="7" borderId="0" xfId="50" applyFont="1" applyFill="1"/>
    <xf numFmtId="0" fontId="55" fillId="4" borderId="0" xfId="58" applyFont="1" applyFill="1" applyAlignment="1">
      <alignment horizontal="left" indent="2"/>
    </xf>
    <xf numFmtId="3" fontId="55" fillId="5" borderId="3" xfId="58" applyNumberFormat="1" applyFont="1" applyFill="1" applyBorder="1"/>
    <xf numFmtId="0" fontId="54" fillId="5" borderId="0" xfId="58" applyFont="1" applyFill="1"/>
    <xf numFmtId="3" fontId="55" fillId="4" borderId="2" xfId="58" applyNumberFormat="1" applyFont="1" applyFill="1" applyBorder="1"/>
    <xf numFmtId="2" fontId="54" fillId="4" borderId="0" xfId="53" quotePrefix="1" applyNumberFormat="1" applyFont="1" applyFill="1" applyAlignment="1">
      <alignment horizontal="center"/>
    </xf>
    <xf numFmtId="1" fontId="54" fillId="3" borderId="0" xfId="58" applyNumberFormat="1" applyFont="1" applyFill="1"/>
    <xf numFmtId="1" fontId="54" fillId="3" borderId="0" xfId="58" applyNumberFormat="1" applyFont="1" applyFill="1" applyAlignment="1">
      <alignment horizontal="center"/>
    </xf>
    <xf numFmtId="3" fontId="54" fillId="3" borderId="0" xfId="58" applyNumberFormat="1" applyFont="1" applyFill="1"/>
    <xf numFmtId="3" fontId="55" fillId="3" borderId="0" xfId="58" applyNumberFormat="1" applyFont="1" applyFill="1"/>
    <xf numFmtId="9" fontId="55" fillId="3" borderId="0" xfId="59" applyFont="1" applyFill="1"/>
    <xf numFmtId="0" fontId="55" fillId="3" borderId="0" xfId="58" applyFont="1" applyFill="1"/>
    <xf numFmtId="2" fontId="54" fillId="3" borderId="0" xfId="58" applyNumberFormat="1" applyFont="1" applyFill="1"/>
    <xf numFmtId="1" fontId="55" fillId="3" borderId="0" xfId="58" applyNumberFormat="1" applyFont="1" applyFill="1" applyAlignment="1">
      <alignment horizontal="right"/>
    </xf>
    <xf numFmtId="0" fontId="55" fillId="3" borderId="0" xfId="58" applyFont="1" applyFill="1" applyAlignment="1">
      <alignment horizontal="right"/>
    </xf>
    <xf numFmtId="0" fontId="54" fillId="3" borderId="0" xfId="58" applyFont="1" applyFill="1" applyAlignment="1">
      <alignment horizontal="left" indent="1"/>
    </xf>
    <xf numFmtId="0" fontId="55" fillId="3" borderId="0" xfId="58" applyFont="1" applyFill="1" applyAlignment="1">
      <alignment horizontal="left" indent="1"/>
    </xf>
    <xf numFmtId="0" fontId="55" fillId="3" borderId="0" xfId="58" applyFont="1" applyFill="1" applyAlignment="1">
      <alignment horizontal="left"/>
    </xf>
    <xf numFmtId="0" fontId="54" fillId="3" borderId="0" xfId="58" applyFont="1" applyFill="1" applyAlignment="1">
      <alignment horizontal="right"/>
    </xf>
    <xf numFmtId="1" fontId="55" fillId="3" borderId="0" xfId="58" applyNumberFormat="1" applyFont="1" applyFill="1" applyAlignment="1">
      <alignment horizontal="center"/>
    </xf>
    <xf numFmtId="164" fontId="55" fillId="3" borderId="0" xfId="1" applyNumberFormat="1" applyFont="1" applyFill="1" applyBorder="1"/>
    <xf numFmtId="1" fontId="55" fillId="3" borderId="0" xfId="58" applyNumberFormat="1" applyFont="1" applyFill="1"/>
    <xf numFmtId="164" fontId="54" fillId="3" borderId="0" xfId="58" applyNumberFormat="1" applyFont="1" applyFill="1"/>
    <xf numFmtId="0" fontId="55" fillId="8" borderId="0" xfId="58" applyFont="1" applyFill="1" applyAlignment="1">
      <alignment horizontal="left"/>
    </xf>
    <xf numFmtId="1" fontId="55" fillId="8" borderId="0" xfId="58" applyNumberFormat="1" applyFont="1" applyFill="1" applyAlignment="1">
      <alignment horizontal="center"/>
    </xf>
    <xf numFmtId="1" fontId="55" fillId="8" borderId="0" xfId="58" applyNumberFormat="1" applyFont="1" applyFill="1" applyAlignment="1">
      <alignment horizontal="right"/>
    </xf>
    <xf numFmtId="0" fontId="55" fillId="8" borderId="0" xfId="58" applyFont="1" applyFill="1" applyAlignment="1">
      <alignment horizontal="right"/>
    </xf>
    <xf numFmtId="0" fontId="54" fillId="8" borderId="0" xfId="58" applyFont="1" applyFill="1"/>
    <xf numFmtId="0" fontId="55" fillId="8" borderId="0" xfId="58" applyFont="1" applyFill="1"/>
    <xf numFmtId="1" fontId="54" fillId="8" borderId="0" xfId="58" applyNumberFormat="1" applyFont="1" applyFill="1" applyAlignment="1">
      <alignment horizontal="center"/>
    </xf>
    <xf numFmtId="3" fontId="55" fillId="8" borderId="0" xfId="58" applyNumberFormat="1" applyFont="1" applyFill="1"/>
    <xf numFmtId="3" fontId="54" fillId="8" borderId="0" xfId="58" applyNumberFormat="1" applyFont="1" applyFill="1"/>
    <xf numFmtId="0" fontId="55" fillId="82" borderId="0" xfId="58" applyFont="1" applyFill="1" applyAlignment="1">
      <alignment horizontal="left" indent="1"/>
    </xf>
    <xf numFmtId="1" fontId="54" fillId="82" borderId="0" xfId="58" applyNumberFormat="1" applyFont="1" applyFill="1" applyAlignment="1">
      <alignment horizontal="center"/>
    </xf>
    <xf numFmtId="1" fontId="55" fillId="82" borderId="0" xfId="58" applyNumberFormat="1" applyFont="1" applyFill="1" applyAlignment="1">
      <alignment horizontal="right"/>
    </xf>
    <xf numFmtId="0" fontId="55" fillId="82" borderId="0" xfId="58" applyFont="1" applyFill="1" applyAlignment="1">
      <alignment horizontal="right"/>
    </xf>
    <xf numFmtId="0" fontId="54" fillId="82" borderId="0" xfId="58" applyFont="1" applyFill="1"/>
    <xf numFmtId="0" fontId="55" fillId="82" borderId="0" xfId="58" applyFont="1" applyFill="1"/>
    <xf numFmtId="170" fontId="55" fillId="4" borderId="0" xfId="48" applyNumberFormat="1" applyFont="1" applyFill="1" applyAlignment="1">
      <alignment horizontal="center" vertical="center"/>
    </xf>
    <xf numFmtId="0" fontId="54" fillId="3" borderId="0" xfId="0" applyFont="1" applyFill="1"/>
    <xf numFmtId="0" fontId="54" fillId="4" borderId="0" xfId="58" applyFont="1" applyFill="1" applyAlignment="1">
      <alignment horizontal="left" indent="1"/>
    </xf>
    <xf numFmtId="0" fontId="54" fillId="3" borderId="0" xfId="58" applyFont="1" applyFill="1" applyAlignment="1">
      <alignment horizontal="center"/>
    </xf>
    <xf numFmtId="0" fontId="55" fillId="3" borderId="0" xfId="58" applyFont="1" applyFill="1" applyAlignment="1">
      <alignment horizontal="center"/>
    </xf>
    <xf numFmtId="167" fontId="54" fillId="3" borderId="0" xfId="58" applyNumberFormat="1" applyFont="1" applyFill="1" applyAlignment="1">
      <alignment horizontal="left"/>
    </xf>
    <xf numFmtId="3" fontId="54" fillId="3" borderId="0" xfId="58" applyNumberFormat="1" applyFont="1" applyFill="1" applyAlignment="1">
      <alignment horizontal="center"/>
    </xf>
    <xf numFmtId="167" fontId="54" fillId="3" borderId="0" xfId="58" applyNumberFormat="1" applyFont="1" applyFill="1"/>
    <xf numFmtId="167" fontId="54" fillId="3" borderId="0" xfId="58" applyNumberFormat="1" applyFont="1" applyFill="1" applyAlignment="1">
      <alignment horizontal="left" indent="1"/>
    </xf>
    <xf numFmtId="0" fontId="55" fillId="5" borderId="0" xfId="58" applyFont="1" applyFill="1" applyAlignment="1">
      <alignment horizontal="left" indent="1"/>
    </xf>
    <xf numFmtId="1" fontId="54" fillId="5" borderId="0" xfId="58" applyNumberFormat="1" applyFont="1" applyFill="1" applyAlignment="1">
      <alignment horizontal="center"/>
    </xf>
    <xf numFmtId="0" fontId="54" fillId="5" borderId="0" xfId="58" applyFont="1" applyFill="1" applyAlignment="1">
      <alignment horizontal="left" indent="1"/>
    </xf>
    <xf numFmtId="0" fontId="224" fillId="7" borderId="0" xfId="0" applyFont="1" applyFill="1" applyAlignment="1">
      <alignment horizontal="center"/>
    </xf>
    <xf numFmtId="2" fontId="54" fillId="4" borderId="0" xfId="49" applyNumberFormat="1" applyFont="1" applyFill="1"/>
    <xf numFmtId="0" fontId="55" fillId="5" borderId="0" xfId="49" applyFont="1" applyFill="1"/>
    <xf numFmtId="3" fontId="54" fillId="5" borderId="0" xfId="55" applyNumberFormat="1" applyFont="1" applyFill="1" applyAlignment="1">
      <alignment horizontal="center"/>
    </xf>
    <xf numFmtId="3" fontId="54" fillId="5" borderId="0" xfId="55" applyNumberFormat="1" applyFont="1" applyFill="1"/>
    <xf numFmtId="0" fontId="54" fillId="4" borderId="0" xfId="49" applyFont="1" applyFill="1"/>
    <xf numFmtId="0" fontId="54" fillId="5" borderId="0" xfId="58" applyFont="1" applyFill="1" applyAlignment="1">
      <alignment horizontal="left" indent="2"/>
    </xf>
    <xf numFmtId="164" fontId="54" fillId="7" borderId="0" xfId="1" applyNumberFormat="1" applyFont="1" applyFill="1"/>
    <xf numFmtId="41" fontId="54" fillId="5" borderId="0" xfId="55" applyNumberFormat="1" applyFont="1" applyFill="1"/>
    <xf numFmtId="3" fontId="54" fillId="4" borderId="0" xfId="55" applyNumberFormat="1" applyFont="1" applyFill="1" applyAlignment="1">
      <alignment horizontal="center"/>
    </xf>
    <xf numFmtId="2" fontId="54" fillId="3" borderId="0" xfId="49" applyNumberFormat="1" applyFont="1" applyFill="1"/>
    <xf numFmtId="1" fontId="55" fillId="3" borderId="0" xfId="49" applyNumberFormat="1" applyFont="1" applyFill="1"/>
    <xf numFmtId="1" fontId="55" fillId="4" borderId="0" xfId="49" applyNumberFormat="1" applyFont="1" applyFill="1" applyAlignment="1">
      <alignment horizontal="center" vertical="center"/>
    </xf>
    <xf numFmtId="0" fontId="55" fillId="4" borderId="0" xfId="58" applyFont="1" applyFill="1" applyAlignment="1">
      <alignment horizontal="center" vertical="center"/>
    </xf>
    <xf numFmtId="0" fontId="54" fillId="4" borderId="0" xfId="58" applyFont="1" applyFill="1" applyAlignment="1">
      <alignment horizontal="left" vertical="center"/>
    </xf>
    <xf numFmtId="0" fontId="54" fillId="4" borderId="0" xfId="58" applyFont="1" applyFill="1" applyAlignment="1">
      <alignment horizontal="left"/>
    </xf>
    <xf numFmtId="0" fontId="54" fillId="4" borderId="0" xfId="58" applyFont="1" applyFill="1" applyAlignment="1">
      <alignment horizontal="left" vertical="center" indent="1"/>
    </xf>
    <xf numFmtId="1" fontId="54" fillId="8" borderId="0" xfId="58" applyNumberFormat="1" applyFont="1" applyFill="1" applyAlignment="1">
      <alignment horizontal="center" vertical="center"/>
    </xf>
    <xf numFmtId="1" fontId="55" fillId="82" borderId="0" xfId="58" applyNumberFormat="1" applyFont="1" applyFill="1" applyAlignment="1">
      <alignment horizontal="center" vertical="center"/>
    </xf>
    <xf numFmtId="0" fontId="55" fillId="82" borderId="0" xfId="58" applyFont="1" applyFill="1" applyAlignment="1">
      <alignment horizontal="center" vertical="center"/>
    </xf>
    <xf numFmtId="0" fontId="54" fillId="82" borderId="0" xfId="58" applyFont="1" applyFill="1" applyAlignment="1">
      <alignment horizontal="center" vertical="center"/>
    </xf>
    <xf numFmtId="3" fontId="54" fillId="5" borderId="0" xfId="58" applyNumberFormat="1" applyFont="1" applyFill="1" applyAlignment="1">
      <alignment horizontal="right" vertical="center" indent="1"/>
    </xf>
    <xf numFmtId="3" fontId="55" fillId="5" borderId="3" xfId="58" applyNumberFormat="1" applyFont="1" applyFill="1" applyBorder="1" applyAlignment="1">
      <alignment horizontal="right" vertical="center" indent="1"/>
    </xf>
    <xf numFmtId="3" fontId="55" fillId="5" borderId="0" xfId="58" applyNumberFormat="1" applyFont="1" applyFill="1" applyAlignment="1">
      <alignment vertical="center"/>
    </xf>
    <xf numFmtId="3" fontId="55" fillId="4" borderId="3" xfId="58" applyNumberFormat="1" applyFont="1" applyFill="1" applyBorder="1" applyAlignment="1">
      <alignment vertical="center"/>
    </xf>
    <xf numFmtId="3" fontId="55" fillId="4" borderId="0" xfId="58" applyNumberFormat="1" applyFont="1" applyFill="1" applyAlignment="1">
      <alignment horizontal="right" vertical="center"/>
    </xf>
    <xf numFmtId="3" fontId="55" fillId="4" borderId="3" xfId="58" applyNumberFormat="1" applyFont="1" applyFill="1" applyBorder="1" applyAlignment="1">
      <alignment horizontal="right" vertical="center"/>
    </xf>
    <xf numFmtId="0" fontId="54" fillId="82" borderId="0" xfId="58" applyFont="1" applyFill="1" applyAlignment="1">
      <alignment vertical="center"/>
    </xf>
    <xf numFmtId="3" fontId="55" fillId="4" borderId="0" xfId="58" applyNumberFormat="1" applyFont="1" applyFill="1" applyAlignment="1">
      <alignment vertical="center"/>
    </xf>
    <xf numFmtId="2" fontId="54" fillId="4" borderId="0" xfId="58" applyNumberFormat="1" applyFont="1" applyFill="1" applyAlignment="1">
      <alignment vertical="center"/>
    </xf>
    <xf numFmtId="1" fontId="55" fillId="4" borderId="2" xfId="58" applyNumberFormat="1" applyFont="1" applyFill="1" applyBorder="1" applyAlignment="1">
      <alignment horizontal="left" vertical="center"/>
    </xf>
    <xf numFmtId="1" fontId="55" fillId="4" borderId="2" xfId="58" applyNumberFormat="1" applyFont="1" applyFill="1" applyBorder="1" applyAlignment="1">
      <alignment horizontal="center" vertical="center"/>
    </xf>
    <xf numFmtId="1" fontId="54" fillId="4" borderId="0" xfId="58" applyNumberFormat="1" applyFont="1" applyFill="1" applyAlignment="1">
      <alignment horizontal="center" vertical="center"/>
    </xf>
    <xf numFmtId="0" fontId="54" fillId="4" borderId="0" xfId="58" applyFont="1" applyFill="1" applyAlignment="1">
      <alignment horizontal="center" vertical="center"/>
    </xf>
    <xf numFmtId="0" fontId="55" fillId="8" borderId="0" xfId="58" applyFont="1" applyFill="1" applyAlignment="1">
      <alignment vertical="center"/>
    </xf>
    <xf numFmtId="1" fontId="55" fillId="8" borderId="0" xfId="58" applyNumberFormat="1" applyFont="1" applyFill="1" applyAlignment="1">
      <alignment horizontal="center" vertical="center"/>
    </xf>
    <xf numFmtId="0" fontId="55" fillId="8" borderId="0" xfId="58" applyFont="1" applyFill="1" applyAlignment="1">
      <alignment horizontal="center" vertical="center"/>
    </xf>
    <xf numFmtId="0" fontId="54" fillId="8" borderId="0" xfId="58" applyFont="1" applyFill="1" applyAlignment="1">
      <alignment horizontal="center" vertical="center"/>
    </xf>
    <xf numFmtId="0" fontId="54" fillId="8" borderId="0" xfId="58" applyFont="1" applyFill="1" applyAlignment="1">
      <alignment vertical="center"/>
    </xf>
    <xf numFmtId="1" fontId="54" fillId="5" borderId="0" xfId="58" applyNumberFormat="1" applyFont="1" applyFill="1" applyAlignment="1">
      <alignment horizontal="center" vertical="center"/>
    </xf>
    <xf numFmtId="0" fontId="55" fillId="82" borderId="0" xfId="58" applyFont="1" applyFill="1" applyAlignment="1">
      <alignment horizontal="left" vertical="center" indent="1"/>
    </xf>
    <xf numFmtId="0" fontId="54" fillId="5" borderId="0" xfId="58" applyFont="1" applyFill="1" applyAlignment="1">
      <alignment horizontal="left" vertical="center" indent="1"/>
    </xf>
    <xf numFmtId="0" fontId="55" fillId="4" borderId="0" xfId="58" applyFont="1" applyFill="1" applyAlignment="1">
      <alignment horizontal="left" vertical="center" indent="2"/>
    </xf>
    <xf numFmtId="0" fontId="55" fillId="5" borderId="0" xfId="58" applyFont="1" applyFill="1" applyAlignment="1">
      <alignment horizontal="left" vertical="center" indent="2"/>
    </xf>
    <xf numFmtId="1" fontId="55" fillId="82" borderId="0" xfId="58" applyNumberFormat="1" applyFont="1" applyFill="1" applyAlignment="1">
      <alignment horizontal="right" vertical="center" indent="1"/>
    </xf>
    <xf numFmtId="0" fontId="55" fillId="82" borderId="0" xfId="58" applyFont="1" applyFill="1" applyAlignment="1">
      <alignment horizontal="right" vertical="center" indent="1"/>
    </xf>
    <xf numFmtId="0" fontId="54" fillId="82" borderId="0" xfId="58" applyFont="1" applyFill="1" applyAlignment="1">
      <alignment horizontal="right" vertical="center" indent="1"/>
    </xf>
    <xf numFmtId="2" fontId="54" fillId="4" borderId="0" xfId="53" quotePrefix="1" applyNumberFormat="1" applyFont="1" applyFill="1" applyAlignment="1">
      <alignment horizontal="center" vertical="center"/>
    </xf>
    <xf numFmtId="0" fontId="54" fillId="3" borderId="0" xfId="58" applyFont="1" applyFill="1" applyAlignment="1">
      <alignment vertical="center"/>
    </xf>
    <xf numFmtId="2" fontId="54" fillId="4" borderId="0" xfId="58" quotePrefix="1" applyNumberFormat="1" applyFont="1" applyFill="1" applyAlignment="1">
      <alignment horizontal="center" vertical="center"/>
    </xf>
    <xf numFmtId="1" fontId="54" fillId="4" borderId="0" xfId="58" applyNumberFormat="1" applyFont="1" applyFill="1" applyAlignment="1">
      <alignment horizontal="left" vertical="center"/>
    </xf>
    <xf numFmtId="0" fontId="55" fillId="4" borderId="0" xfId="58" quotePrefix="1" applyFont="1" applyFill="1" applyAlignment="1">
      <alignment horizontal="center"/>
    </xf>
    <xf numFmtId="1" fontId="55" fillId="4" borderId="2" xfId="49" applyNumberFormat="1" applyFont="1" applyFill="1" applyBorder="1"/>
    <xf numFmtId="1" fontId="55" fillId="4" borderId="2" xfId="49" applyNumberFormat="1" applyFont="1" applyFill="1" applyBorder="1" applyAlignment="1">
      <alignment horizontal="center"/>
    </xf>
    <xf numFmtId="1" fontId="55" fillId="3" borderId="0" xfId="49" applyNumberFormat="1" applyFont="1" applyFill="1" applyAlignment="1">
      <alignment horizontal="center"/>
    </xf>
    <xf numFmtId="0" fontId="54" fillId="3" borderId="0" xfId="55" applyFont="1" applyFill="1"/>
    <xf numFmtId="0" fontId="55" fillId="4" borderId="0" xfId="49" applyFont="1" applyFill="1"/>
    <xf numFmtId="4" fontId="54" fillId="3" borderId="0" xfId="55" applyNumberFormat="1" applyFont="1" applyFill="1"/>
    <xf numFmtId="3" fontId="54" fillId="3" borderId="0" xfId="55" applyNumberFormat="1" applyFont="1" applyFill="1"/>
    <xf numFmtId="2" fontId="54" fillId="7" borderId="0" xfId="49" applyNumberFormat="1" applyFont="1" applyFill="1"/>
    <xf numFmtId="1" fontId="54" fillId="7" borderId="0" xfId="49" applyNumberFormat="1" applyFont="1" applyFill="1"/>
    <xf numFmtId="168" fontId="54" fillId="5" borderId="0" xfId="55" applyNumberFormat="1" applyFont="1" applyFill="1" applyAlignment="1">
      <alignment horizontal="right"/>
    </xf>
    <xf numFmtId="168" fontId="54" fillId="5" borderId="0" xfId="55" applyNumberFormat="1" applyFont="1" applyFill="1"/>
    <xf numFmtId="168" fontId="230" fillId="5" borderId="0" xfId="55" applyNumberFormat="1" applyFont="1" applyFill="1"/>
    <xf numFmtId="168" fontId="54" fillId="5" borderId="0" xfId="55" applyNumberFormat="1" applyFont="1" applyFill="1" applyAlignment="1">
      <alignment horizontal="center"/>
    </xf>
    <xf numFmtId="168" fontId="54" fillId="5" borderId="0" xfId="55" quotePrefix="1" applyNumberFormat="1" applyFont="1" applyFill="1" applyAlignment="1">
      <alignment horizontal="center"/>
    </xf>
    <xf numFmtId="3" fontId="54" fillId="4" borderId="3" xfId="55" applyNumberFormat="1" applyFont="1" applyFill="1" applyBorder="1" applyAlignment="1">
      <alignment horizontal="right"/>
    </xf>
    <xf numFmtId="3" fontId="54" fillId="5" borderId="0" xfId="55" quotePrefix="1" applyNumberFormat="1" applyFont="1" applyFill="1" applyAlignment="1">
      <alignment horizontal="center"/>
    </xf>
    <xf numFmtId="0" fontId="54" fillId="5" borderId="0" xfId="49" applyFont="1" applyFill="1"/>
    <xf numFmtId="2" fontId="54" fillId="5" borderId="0" xfId="49" applyNumberFormat="1" applyFont="1" applyFill="1"/>
    <xf numFmtId="0" fontId="54" fillId="5" borderId="0" xfId="49" applyFont="1" applyFill="1" applyAlignment="1">
      <alignment horizontal="left" indent="2"/>
    </xf>
    <xf numFmtId="41" fontId="54" fillId="5" borderId="0" xfId="49" applyNumberFormat="1" applyFont="1" applyFill="1"/>
    <xf numFmtId="41" fontId="54" fillId="5" borderId="3" xfId="49" applyNumberFormat="1" applyFont="1" applyFill="1" applyBorder="1"/>
    <xf numFmtId="0" fontId="54" fillId="5" borderId="0" xfId="49" applyFont="1" applyFill="1" applyAlignment="1">
      <alignment horizontal="left" indent="1"/>
    </xf>
    <xf numFmtId="2" fontId="54" fillId="3" borderId="0" xfId="0" applyNumberFormat="1" applyFont="1" applyFill="1"/>
    <xf numFmtId="0" fontId="55" fillId="3" borderId="0" xfId="0" applyFont="1" applyFill="1"/>
    <xf numFmtId="0" fontId="54" fillId="3" borderId="0" xfId="43" applyNumberFormat="1" applyFont="1" applyFill="1"/>
    <xf numFmtId="43" fontId="54" fillId="7" borderId="0" xfId="1" applyFont="1" applyFill="1" applyBorder="1"/>
    <xf numFmtId="164" fontId="54" fillId="5" borderId="0" xfId="53" applyNumberFormat="1" applyFont="1" applyFill="1" applyAlignment="1">
      <alignment horizontal="right" vertical="center"/>
    </xf>
    <xf numFmtId="164" fontId="54" fillId="5" borderId="2" xfId="1" applyNumberFormat="1" applyFont="1" applyFill="1" applyBorder="1"/>
    <xf numFmtId="2" fontId="54" fillId="6" borderId="0" xfId="0" applyNumberFormat="1" applyFont="1" applyFill="1"/>
    <xf numFmtId="164" fontId="54" fillId="5" borderId="0" xfId="49" applyNumberFormat="1" applyFont="1" applyFill="1"/>
    <xf numFmtId="0" fontId="54" fillId="5" borderId="0" xfId="58" applyFont="1" applyFill="1" applyAlignment="1">
      <alignment horizontal="left" indent="3"/>
    </xf>
    <xf numFmtId="170" fontId="55" fillId="4" borderId="0" xfId="48" applyNumberFormat="1" applyFont="1" applyFill="1" applyAlignment="1">
      <alignment horizontal="center" vertical="center" wrapText="1"/>
    </xf>
    <xf numFmtId="0" fontId="55" fillId="4" borderId="0" xfId="48" applyFont="1" applyFill="1" applyAlignment="1">
      <alignment horizontal="center" vertical="center" wrapText="1"/>
    </xf>
    <xf numFmtId="0" fontId="55" fillId="4" borderId="0" xfId="51" applyFont="1" applyFill="1" applyAlignment="1">
      <alignment horizontal="center" vertical="center"/>
    </xf>
    <xf numFmtId="1" fontId="55" fillId="4" borderId="0" xfId="53" applyNumberFormat="1" applyFont="1" applyFill="1" applyAlignment="1">
      <alignment horizontal="center"/>
    </xf>
    <xf numFmtId="169" fontId="54" fillId="3" borderId="0" xfId="44" applyFont="1" applyFill="1"/>
    <xf numFmtId="0" fontId="232" fillId="3" borderId="0" xfId="50" applyFont="1" applyFill="1"/>
    <xf numFmtId="169" fontId="54" fillId="4" borderId="0" xfId="44" applyFont="1" applyFill="1" applyAlignment="1">
      <alignment horizontal="center"/>
    </xf>
    <xf numFmtId="169" fontId="54" fillId="4" borderId="0" xfId="44" applyFont="1" applyFill="1"/>
    <xf numFmtId="1" fontId="54" fillId="4" borderId="0" xfId="53" applyNumberFormat="1" applyFont="1" applyFill="1" applyAlignment="1">
      <alignment horizontal="center"/>
    </xf>
    <xf numFmtId="0" fontId="55" fillId="4" borderId="0" xfId="44" applyNumberFormat="1" applyFont="1" applyFill="1"/>
    <xf numFmtId="0" fontId="54" fillId="4" borderId="0" xfId="53" applyFont="1" applyFill="1" applyAlignment="1">
      <alignment horizontal="left" indent="2"/>
    </xf>
    <xf numFmtId="3" fontId="54" fillId="4" borderId="0" xfId="50" applyNumberFormat="1" applyFont="1" applyFill="1"/>
    <xf numFmtId="0" fontId="54" fillId="4" borderId="0" xfId="53" applyFont="1" applyFill="1" applyAlignment="1">
      <alignment horizontal="left" indent="1"/>
    </xf>
    <xf numFmtId="3" fontId="54" fillId="4" borderId="0" xfId="50" quotePrefix="1" applyNumberFormat="1" applyFont="1" applyFill="1" applyAlignment="1">
      <alignment horizontal="centerContinuous"/>
    </xf>
    <xf numFmtId="4" fontId="54" fillId="3" borderId="0" xfId="44" applyNumberFormat="1" applyFont="1" applyFill="1"/>
    <xf numFmtId="3" fontId="54" fillId="4" borderId="0" xfId="50" quotePrefix="1" applyNumberFormat="1" applyFont="1" applyFill="1" applyAlignment="1">
      <alignment horizontal="center"/>
    </xf>
    <xf numFmtId="1" fontId="54" fillId="5" borderId="0" xfId="53" applyNumberFormat="1" applyFont="1" applyFill="1" applyAlignment="1">
      <alignment horizontal="center"/>
    </xf>
    <xf numFmtId="4" fontId="54" fillId="7" borderId="0" xfId="44" applyNumberFormat="1" applyFont="1" applyFill="1"/>
    <xf numFmtId="169" fontId="54" fillId="7" borderId="0" xfId="44" applyFont="1" applyFill="1"/>
    <xf numFmtId="0" fontId="55" fillId="4" borderId="0" xfId="53" applyFont="1" applyFill="1"/>
    <xf numFmtId="169" fontId="227" fillId="4" borderId="0" xfId="44" applyFont="1" applyFill="1" applyAlignment="1">
      <alignment horizontal="center"/>
    </xf>
    <xf numFmtId="43" fontId="54" fillId="3" borderId="0" xfId="1" applyFont="1" applyFill="1" applyBorder="1"/>
    <xf numFmtId="0" fontId="54" fillId="4" borderId="0" xfId="50" applyFont="1" applyFill="1" applyAlignment="1">
      <alignment horizontal="left" indent="1"/>
    </xf>
    <xf numFmtId="175" fontId="54" fillId="4" borderId="0" xfId="1" applyNumberFormat="1" applyFont="1" applyFill="1"/>
    <xf numFmtId="3" fontId="54" fillId="5" borderId="0" xfId="50" applyNumberFormat="1" applyFont="1" applyFill="1" applyAlignment="1">
      <alignment horizontal="right" indent="1"/>
    </xf>
    <xf numFmtId="0" fontId="54" fillId="4" borderId="0" xfId="50" applyFont="1" applyFill="1" applyAlignment="1">
      <alignment horizontal="left" indent="2"/>
    </xf>
    <xf numFmtId="169" fontId="55" fillId="3" borderId="0" xfId="44" applyFont="1" applyFill="1"/>
    <xf numFmtId="168" fontId="55" fillId="3" borderId="0" xfId="44" applyNumberFormat="1" applyFont="1" applyFill="1"/>
    <xf numFmtId="3" fontId="54" fillId="4" borderId="0" xfId="50" applyNumberFormat="1" applyFont="1" applyFill="1" applyAlignment="1">
      <alignment horizontal="center"/>
    </xf>
    <xf numFmtId="3" fontId="54" fillId="3" borderId="0" xfId="50" applyNumberFormat="1" applyFont="1" applyFill="1"/>
    <xf numFmtId="0" fontId="54" fillId="4" borderId="0" xfId="44" quotePrefix="1" applyNumberFormat="1" applyFont="1" applyFill="1"/>
    <xf numFmtId="169" fontId="54" fillId="3" borderId="0" xfId="44" applyFont="1" applyFill="1" applyAlignment="1">
      <alignment horizontal="center"/>
    </xf>
    <xf numFmtId="0" fontId="225" fillId="3" borderId="0" xfId="50" applyFont="1" applyFill="1"/>
    <xf numFmtId="3" fontId="54" fillId="5" borderId="0" xfId="50" quotePrefix="1" applyNumberFormat="1" applyFont="1" applyFill="1" applyAlignment="1">
      <alignment horizontal="center"/>
    </xf>
    <xf numFmtId="0" fontId="54" fillId="4" borderId="0" xfId="53" applyFont="1" applyFill="1" applyAlignment="1">
      <alignment horizontal="left" indent="3"/>
    </xf>
    <xf numFmtId="0" fontId="54" fillId="5" borderId="0" xfId="54" applyFont="1" applyFill="1" applyAlignment="1">
      <alignment horizontal="left" indent="3"/>
    </xf>
    <xf numFmtId="0" fontId="54" fillId="4" borderId="0" xfId="50" applyFont="1" applyFill="1" applyAlignment="1">
      <alignment horizontal="left" indent="3"/>
    </xf>
    <xf numFmtId="169" fontId="54" fillId="4" borderId="0" xfId="55" quotePrefix="1" applyNumberFormat="1" applyFont="1" applyFill="1" applyAlignment="1">
      <alignment horizontal="left" indent="1"/>
    </xf>
    <xf numFmtId="169" fontId="54" fillId="4" borderId="0" xfId="49" applyNumberFormat="1" applyFont="1" applyFill="1" applyAlignment="1">
      <alignment horizontal="left" indent="1"/>
    </xf>
    <xf numFmtId="169" fontId="54" fillId="4" borderId="0" xfId="44" applyFont="1" applyFill="1" applyAlignment="1">
      <alignment horizontal="left"/>
    </xf>
    <xf numFmtId="0" fontId="225" fillId="3" borderId="0" xfId="52" applyFont="1" applyFill="1"/>
    <xf numFmtId="3" fontId="54" fillId="5" borderId="0" xfId="56" applyNumberFormat="1" applyFont="1" applyFill="1"/>
    <xf numFmtId="0" fontId="54" fillId="7" borderId="0" xfId="0" applyFont="1" applyFill="1"/>
    <xf numFmtId="0" fontId="54" fillId="7" borderId="0" xfId="0" applyFont="1" applyFill="1" applyAlignment="1">
      <alignment horizontal="left"/>
    </xf>
    <xf numFmtId="3" fontId="54" fillId="7" borderId="0" xfId="0" applyNumberFormat="1" applyFont="1" applyFill="1"/>
    <xf numFmtId="43" fontId="54" fillId="7" borderId="0" xfId="1" applyFont="1" applyFill="1"/>
    <xf numFmtId="0" fontId="54" fillId="7" borderId="0" xfId="0" applyFont="1" applyFill="1" applyAlignment="1">
      <alignment horizontal="right"/>
    </xf>
    <xf numFmtId="1" fontId="54" fillId="7" borderId="0" xfId="1" applyNumberFormat="1" applyFont="1" applyFill="1" applyAlignment="1">
      <alignment horizontal="left"/>
    </xf>
    <xf numFmtId="164" fontId="54" fillId="7" borderId="0" xfId="1" applyNumberFormat="1" applyFont="1" applyFill="1" applyAlignment="1">
      <alignment horizontal="right"/>
    </xf>
    <xf numFmtId="3" fontId="54" fillId="4" borderId="0" xfId="56" applyNumberFormat="1" applyFont="1" applyFill="1" applyAlignment="1">
      <alignment horizontal="center" vertical="center"/>
    </xf>
    <xf numFmtId="1" fontId="54" fillId="4" borderId="0" xfId="49" applyNumberFormat="1" applyFont="1" applyFill="1" applyAlignment="1">
      <alignment horizontal="center" vertical="center"/>
    </xf>
    <xf numFmtId="169" fontId="54" fillId="4" borderId="0" xfId="55" quotePrefix="1" applyNumberFormat="1" applyFont="1" applyFill="1" applyAlignment="1">
      <alignment horizontal="center" vertical="center"/>
    </xf>
    <xf numFmtId="1" fontId="55" fillId="4" borderId="0" xfId="49" applyNumberFormat="1" applyFont="1" applyFill="1" applyAlignment="1">
      <alignment horizontal="left" indent="3"/>
    </xf>
    <xf numFmtId="0" fontId="54" fillId="4" borderId="2" xfId="53" applyFont="1" applyFill="1" applyBorder="1" applyAlignment="1">
      <alignment horizontal="left" vertical="center"/>
    </xf>
    <xf numFmtId="1" fontId="54" fillId="4" borderId="2" xfId="51" applyNumberFormat="1" applyFont="1" applyFill="1" applyBorder="1" applyAlignment="1">
      <alignment horizontal="right" vertical="center"/>
    </xf>
    <xf numFmtId="0" fontId="54" fillId="4" borderId="2" xfId="51" applyFont="1" applyFill="1" applyBorder="1" applyAlignment="1">
      <alignment vertical="center"/>
    </xf>
    <xf numFmtId="165" fontId="54" fillId="4" borderId="0" xfId="51" applyNumberFormat="1" applyFont="1" applyFill="1" applyAlignment="1">
      <alignment vertical="center"/>
    </xf>
    <xf numFmtId="1" fontId="54" fillId="4" borderId="0" xfId="51" applyNumberFormat="1" applyFont="1" applyFill="1" applyAlignment="1">
      <alignment horizontal="right" vertical="center"/>
    </xf>
    <xf numFmtId="3" fontId="54" fillId="5" borderId="0" xfId="50" applyNumberFormat="1" applyFont="1" applyFill="1"/>
    <xf numFmtId="0" fontId="235" fillId="7" borderId="0" xfId="0" applyFont="1" applyFill="1"/>
    <xf numFmtId="2" fontId="224" fillId="5" borderId="0" xfId="4594" applyNumberFormat="1" applyFont="1" applyFill="1" applyAlignment="1">
      <alignment horizontal="right"/>
    </xf>
    <xf numFmtId="1" fontId="226" fillId="5" borderId="0" xfId="4595" applyNumberFormat="1" applyFont="1" applyFill="1" applyAlignment="1">
      <alignment horizontal="center"/>
    </xf>
    <xf numFmtId="0" fontId="224" fillId="7" borderId="0" xfId="0" applyFont="1" applyFill="1"/>
    <xf numFmtId="0" fontId="226" fillId="5" borderId="2" xfId="4594" applyNumberFormat="1" applyFont="1" applyFill="1" applyBorder="1" applyAlignment="1">
      <alignment vertical="center"/>
    </xf>
    <xf numFmtId="1" fontId="226" fillId="5" borderId="2" xfId="4595" applyNumberFormat="1" applyFont="1" applyFill="1" applyBorder="1" applyAlignment="1">
      <alignment horizontal="center" vertical="center"/>
    </xf>
    <xf numFmtId="1" fontId="226" fillId="5" borderId="2" xfId="4595" applyNumberFormat="1" applyFont="1" applyFill="1" applyBorder="1" applyAlignment="1">
      <alignment horizontal="center" vertical="center" wrapText="1"/>
    </xf>
    <xf numFmtId="0" fontId="226" fillId="5" borderId="0" xfId="4595" applyFont="1" applyFill="1"/>
    <xf numFmtId="169" fontId="224" fillId="5" borderId="0" xfId="4594" applyFont="1" applyFill="1" applyAlignment="1">
      <alignment horizontal="center"/>
    </xf>
    <xf numFmtId="0" fontId="224" fillId="5" borderId="0" xfId="4597" applyFont="1" applyFill="1" applyAlignment="1">
      <alignment horizontal="left" indent="1"/>
    </xf>
    <xf numFmtId="1" fontId="224" fillId="5" borderId="0" xfId="4595" applyNumberFormat="1" applyFont="1" applyFill="1" applyAlignment="1">
      <alignment horizontal="center"/>
    </xf>
    <xf numFmtId="0" fontId="224" fillId="5" borderId="0" xfId="4595" applyFont="1" applyFill="1" applyAlignment="1">
      <alignment horizontal="left" indent="1"/>
    </xf>
    <xf numFmtId="0" fontId="224" fillId="5" borderId="0" xfId="4595" applyFont="1" applyFill="1" applyAlignment="1">
      <alignment horizontal="left" indent="2"/>
    </xf>
    <xf numFmtId="0" fontId="224" fillId="0" borderId="0" xfId="0" applyFont="1" applyAlignment="1">
      <alignment horizontal="left" indent="2"/>
    </xf>
    <xf numFmtId="0" fontId="226" fillId="0" borderId="0" xfId="0" applyFont="1"/>
    <xf numFmtId="0" fontId="224" fillId="0" borderId="0" xfId="0" applyFont="1" applyAlignment="1">
      <alignment horizontal="center"/>
    </xf>
    <xf numFmtId="0" fontId="224" fillId="0" borderId="0" xfId="0" applyFont="1" applyAlignment="1">
      <alignment horizontal="left" indent="1"/>
    </xf>
    <xf numFmtId="0" fontId="224" fillId="7" borderId="0" xfId="0" applyFont="1" applyFill="1" applyAlignment="1">
      <alignment horizontal="right"/>
    </xf>
    <xf numFmtId="3" fontId="55" fillId="5" borderId="2" xfId="58" applyNumberFormat="1" applyFont="1" applyFill="1" applyBorder="1"/>
    <xf numFmtId="0" fontId="54" fillId="0" borderId="0" xfId="0" applyFont="1" applyAlignment="1">
      <alignment horizontal="left" vertical="center" indent="1"/>
    </xf>
    <xf numFmtId="0" fontId="55" fillId="0" borderId="0" xfId="0" applyFont="1" applyAlignment="1">
      <alignment vertical="center"/>
    </xf>
    <xf numFmtId="0" fontId="55" fillId="7" borderId="0" xfId="0" applyFont="1" applyFill="1" applyAlignment="1">
      <alignment vertical="center"/>
    </xf>
    <xf numFmtId="0" fontId="54" fillId="7" borderId="0" xfId="0" applyFont="1" applyFill="1" applyAlignment="1">
      <alignment vertical="center"/>
    </xf>
    <xf numFmtId="0" fontId="54" fillId="0" borderId="0" xfId="0" applyFont="1" applyAlignment="1">
      <alignment vertical="center"/>
    </xf>
    <xf numFmtId="1" fontId="226" fillId="5" borderId="0" xfId="4595" applyNumberFormat="1" applyFont="1" applyFill="1" applyAlignment="1">
      <alignment horizontal="center" vertical="center"/>
    </xf>
    <xf numFmtId="0" fontId="55" fillId="0" borderId="0" xfId="0" applyFont="1" applyAlignment="1">
      <alignment horizontal="center" vertical="center"/>
    </xf>
    <xf numFmtId="1" fontId="54" fillId="4" borderId="0" xfId="50" applyNumberFormat="1" applyFont="1" applyFill="1" applyAlignment="1">
      <alignment horizontal="center" vertical="center"/>
    </xf>
    <xf numFmtId="0" fontId="55" fillId="0" borderId="0" xfId="0" applyFont="1" applyAlignment="1">
      <alignment horizontal="right" vertical="center"/>
    </xf>
    <xf numFmtId="0" fontId="54" fillId="0" borderId="0" xfId="0" applyFont="1" applyAlignment="1">
      <alignment horizontal="center" vertical="center"/>
    </xf>
    <xf numFmtId="0" fontId="54" fillId="7" borderId="0" xfId="0" applyFont="1" applyFill="1" applyAlignment="1">
      <alignment horizontal="center" vertical="center"/>
    </xf>
    <xf numFmtId="0" fontId="55" fillId="0" borderId="0" xfId="0" applyFont="1" applyAlignment="1">
      <alignment horizontal="left" vertical="center"/>
    </xf>
    <xf numFmtId="0" fontId="54" fillId="7" borderId="0" xfId="0" applyFont="1" applyFill="1" applyAlignment="1">
      <alignment horizontal="right" vertical="center"/>
    </xf>
    <xf numFmtId="180" fontId="54" fillId="5" borderId="0" xfId="0" applyNumberFormat="1" applyFont="1" applyFill="1" applyAlignment="1">
      <alignment horizontal="center" vertical="center"/>
    </xf>
    <xf numFmtId="0" fontId="54" fillId="5" borderId="0" xfId="0" applyFont="1" applyFill="1" applyAlignment="1">
      <alignment horizontal="right" vertical="center"/>
    </xf>
    <xf numFmtId="0" fontId="55" fillId="0" borderId="0" xfId="0" applyFont="1" applyAlignment="1">
      <alignment horizontal="left" vertical="center" indent="2"/>
    </xf>
    <xf numFmtId="0" fontId="54" fillId="0" borderId="0" xfId="0" applyFont="1" applyAlignment="1">
      <alignment horizontal="left" vertical="center" indent="2"/>
    </xf>
    <xf numFmtId="0" fontId="55" fillId="5" borderId="0" xfId="0" applyFont="1" applyFill="1" applyAlignment="1">
      <alignment horizontal="left" vertical="center" indent="2"/>
    </xf>
    <xf numFmtId="3" fontId="55" fillId="5" borderId="0" xfId="58" applyNumberFormat="1" applyFont="1" applyFill="1" applyAlignment="1">
      <alignment horizontal="right" vertical="center" indent="1"/>
    </xf>
    <xf numFmtId="0" fontId="54" fillId="3" borderId="0" xfId="50" applyFont="1" applyFill="1" applyAlignment="1">
      <alignment vertical="center"/>
    </xf>
    <xf numFmtId="1" fontId="54" fillId="4" borderId="0" xfId="49" applyNumberFormat="1" applyFont="1" applyFill="1" applyAlignment="1">
      <alignment vertical="center"/>
    </xf>
    <xf numFmtId="0" fontId="54" fillId="3" borderId="0" xfId="49" applyFont="1" applyFill="1" applyAlignment="1">
      <alignment vertical="center"/>
    </xf>
    <xf numFmtId="0" fontId="55" fillId="4" borderId="0" xfId="49" applyFont="1" applyFill="1" applyAlignment="1">
      <alignment vertical="center"/>
    </xf>
    <xf numFmtId="0" fontId="55" fillId="4" borderId="2" xfId="49" applyFont="1" applyFill="1" applyBorder="1" applyAlignment="1">
      <alignment vertical="center"/>
    </xf>
    <xf numFmtId="1" fontId="55" fillId="8" borderId="0" xfId="49" applyNumberFormat="1" applyFont="1" applyFill="1" applyAlignment="1">
      <alignment horizontal="center" vertical="center"/>
    </xf>
    <xf numFmtId="0" fontId="54" fillId="8" borderId="0" xfId="55" applyFont="1" applyFill="1" applyAlignment="1">
      <alignment vertical="center"/>
    </xf>
    <xf numFmtId="0" fontId="54" fillId="5" borderId="0" xfId="50" applyFont="1" applyFill="1" applyAlignment="1">
      <alignment vertical="center"/>
    </xf>
    <xf numFmtId="0" fontId="54" fillId="5" borderId="0" xfId="49" applyFont="1" applyFill="1" applyAlignment="1">
      <alignment vertical="center"/>
    </xf>
    <xf numFmtId="3" fontId="54" fillId="3" borderId="0" xfId="49" applyNumberFormat="1" applyFont="1" applyFill="1" applyAlignment="1">
      <alignment vertical="center"/>
    </xf>
    <xf numFmtId="0" fontId="55" fillId="4" borderId="0" xfId="49" applyFont="1" applyFill="1" applyAlignment="1">
      <alignment horizontal="left" vertical="center"/>
    </xf>
    <xf numFmtId="3" fontId="55" fillId="4" borderId="3" xfId="55" applyNumberFormat="1" applyFont="1" applyFill="1" applyBorder="1" applyAlignment="1">
      <alignment vertical="center"/>
    </xf>
    <xf numFmtId="0" fontId="55" fillId="3" borderId="0" xfId="49" applyFont="1" applyFill="1" applyAlignment="1">
      <alignment vertical="center"/>
    </xf>
    <xf numFmtId="3" fontId="55" fillId="4" borderId="0" xfId="55" applyNumberFormat="1" applyFont="1" applyFill="1" applyAlignment="1">
      <alignment vertical="center"/>
    </xf>
    <xf numFmtId="1" fontId="54" fillId="8" borderId="0" xfId="49" applyNumberFormat="1" applyFont="1" applyFill="1" applyAlignment="1">
      <alignment vertical="center"/>
    </xf>
    <xf numFmtId="3" fontId="54" fillId="4" borderId="0" xfId="55" applyNumberFormat="1" applyFont="1" applyFill="1" applyAlignment="1">
      <alignment vertical="center"/>
    </xf>
    <xf numFmtId="1" fontId="54" fillId="5" borderId="0" xfId="49" applyNumberFormat="1" applyFont="1" applyFill="1" applyAlignment="1">
      <alignment horizontal="center" vertical="center"/>
    </xf>
    <xf numFmtId="1" fontId="54" fillId="3" borderId="0" xfId="49" applyNumberFormat="1" applyFont="1" applyFill="1" applyAlignment="1">
      <alignment horizontal="center" vertical="center"/>
    </xf>
    <xf numFmtId="1" fontId="54" fillId="3" borderId="0" xfId="49" applyNumberFormat="1" applyFont="1" applyFill="1" applyAlignment="1">
      <alignment vertical="center"/>
    </xf>
    <xf numFmtId="164" fontId="55" fillId="3" borderId="0" xfId="1" applyNumberFormat="1" applyFont="1" applyFill="1" applyAlignment="1">
      <alignment vertical="center"/>
    </xf>
    <xf numFmtId="0" fontId="54" fillId="3" borderId="0" xfId="49" applyFont="1" applyFill="1" applyAlignment="1">
      <alignment horizontal="center" vertical="center"/>
    </xf>
    <xf numFmtId="0" fontId="55" fillId="3" borderId="0" xfId="49" applyFont="1" applyFill="1" applyAlignment="1">
      <alignment horizontal="left" vertical="center"/>
    </xf>
    <xf numFmtId="1" fontId="227" fillId="3" borderId="0" xfId="49" applyNumberFormat="1" applyFont="1" applyFill="1" applyAlignment="1">
      <alignment vertical="center"/>
    </xf>
    <xf numFmtId="1" fontId="228" fillId="3" borderId="0" xfId="49" applyNumberFormat="1" applyFont="1" applyFill="1" applyAlignment="1">
      <alignment vertical="center"/>
    </xf>
    <xf numFmtId="164" fontId="54" fillId="3" borderId="0" xfId="1" applyNumberFormat="1" applyFont="1" applyFill="1" applyBorder="1" applyAlignment="1">
      <alignment vertical="center"/>
    </xf>
    <xf numFmtId="164" fontId="212" fillId="3" borderId="0" xfId="1" applyNumberFormat="1" applyFont="1" applyFill="1" applyBorder="1" applyAlignment="1">
      <alignment vertical="center"/>
    </xf>
    <xf numFmtId="10" fontId="54" fillId="3" borderId="0" xfId="1" applyNumberFormat="1" applyFont="1" applyFill="1" applyBorder="1" applyAlignment="1">
      <alignment vertical="center"/>
    </xf>
    <xf numFmtId="9" fontId="212" fillId="3" borderId="0" xfId="59" applyFont="1" applyFill="1" applyBorder="1" applyAlignment="1">
      <alignment vertical="center"/>
    </xf>
    <xf numFmtId="0" fontId="229" fillId="81" borderId="0" xfId="49" applyFont="1" applyFill="1" applyAlignment="1">
      <alignment vertical="center"/>
    </xf>
    <xf numFmtId="10" fontId="54" fillId="3" borderId="0" xfId="59" applyNumberFormat="1" applyFont="1" applyFill="1" applyBorder="1" applyAlignment="1">
      <alignment vertical="center"/>
    </xf>
    <xf numFmtId="2" fontId="54" fillId="4" borderId="0" xfId="45" applyNumberFormat="1" applyFont="1" applyFill="1" applyAlignment="1">
      <alignment horizontal="center" vertical="center"/>
    </xf>
    <xf numFmtId="169" fontId="54" fillId="3" borderId="0" xfId="45" applyFont="1" applyFill="1" applyAlignment="1">
      <alignment vertical="center"/>
    </xf>
    <xf numFmtId="169" fontId="55" fillId="4" borderId="2" xfId="45" applyFont="1" applyFill="1" applyBorder="1" applyAlignment="1">
      <alignment vertical="center"/>
    </xf>
    <xf numFmtId="1" fontId="55" fillId="4" borderId="2" xfId="49" applyNumberFormat="1" applyFont="1" applyFill="1" applyBorder="1" applyAlignment="1">
      <alignment horizontal="center" vertical="center"/>
    </xf>
    <xf numFmtId="1" fontId="55" fillId="4" borderId="2" xfId="49" applyNumberFormat="1" applyFont="1" applyFill="1" applyBorder="1" applyAlignment="1">
      <alignment horizontal="center" vertical="center" wrapText="1"/>
    </xf>
    <xf numFmtId="0" fontId="54" fillId="4" borderId="0" xfId="53" quotePrefix="1" applyFont="1" applyFill="1" applyAlignment="1">
      <alignment horizontal="center" vertical="center"/>
    </xf>
    <xf numFmtId="169" fontId="54" fillId="7" borderId="0" xfId="45" applyFont="1" applyFill="1" applyAlignment="1">
      <alignment vertical="center"/>
    </xf>
    <xf numFmtId="168" fontId="231" fillId="5" borderId="0" xfId="55" applyNumberFormat="1" applyFont="1" applyFill="1" applyAlignment="1">
      <alignment horizontal="center" vertical="center"/>
    </xf>
    <xf numFmtId="0" fontId="54" fillId="7" borderId="0" xfId="53" quotePrefix="1" applyFont="1" applyFill="1" applyAlignment="1">
      <alignment horizontal="center" vertical="center"/>
    </xf>
    <xf numFmtId="169" fontId="54" fillId="7" borderId="0" xfId="45" applyFont="1" applyFill="1" applyAlignment="1">
      <alignment horizontal="center" vertical="center"/>
    </xf>
    <xf numFmtId="1" fontId="54" fillId="7" borderId="0" xfId="49" applyNumberFormat="1" applyFont="1" applyFill="1" applyAlignment="1">
      <alignment vertical="center"/>
    </xf>
    <xf numFmtId="2" fontId="54" fillId="7" borderId="0" xfId="45" applyNumberFormat="1" applyFont="1" applyFill="1" applyAlignment="1">
      <alignment horizontal="center" vertical="center"/>
    </xf>
    <xf numFmtId="169" fontId="55" fillId="7" borderId="0" xfId="45" applyFont="1" applyFill="1" applyAlignment="1">
      <alignment vertical="center"/>
    </xf>
    <xf numFmtId="4" fontId="54" fillId="7" borderId="0" xfId="45" applyNumberFormat="1" applyFont="1" applyFill="1" applyAlignment="1">
      <alignment horizontal="center" vertical="center"/>
    </xf>
    <xf numFmtId="2" fontId="54" fillId="3" borderId="0" xfId="45" applyNumberFormat="1" applyFont="1" applyFill="1" applyAlignment="1">
      <alignment horizontal="center" vertical="center"/>
    </xf>
    <xf numFmtId="169" fontId="54" fillId="3" borderId="0" xfId="45" applyFont="1" applyFill="1" applyAlignment="1">
      <alignment horizontal="center" vertical="center"/>
    </xf>
    <xf numFmtId="0" fontId="54" fillId="5" borderId="0" xfId="50" applyFont="1" applyFill="1"/>
    <xf numFmtId="2" fontId="54" fillId="5" borderId="0" xfId="0" applyNumberFormat="1" applyFont="1" applyFill="1"/>
    <xf numFmtId="0" fontId="55" fillId="7" borderId="0" xfId="0" applyFont="1" applyFill="1" applyAlignment="1">
      <alignment horizontal="center"/>
    </xf>
    <xf numFmtId="0" fontId="54" fillId="5" borderId="0" xfId="0" applyFont="1" applyFill="1"/>
    <xf numFmtId="2" fontId="55" fillId="5" borderId="0" xfId="0" applyNumberFormat="1" applyFont="1" applyFill="1"/>
    <xf numFmtId="0" fontId="55" fillId="5" borderId="2" xfId="0" applyFont="1" applyFill="1" applyBorder="1"/>
    <xf numFmtId="0" fontId="54" fillId="5" borderId="0" xfId="53" quotePrefix="1" applyFont="1" applyFill="1" applyAlignment="1">
      <alignment horizontal="center"/>
    </xf>
    <xf numFmtId="165" fontId="55" fillId="5" borderId="0" xfId="0" applyNumberFormat="1" applyFont="1" applyFill="1" applyAlignment="1">
      <alignment horizontal="right" indent="1"/>
    </xf>
    <xf numFmtId="3" fontId="54" fillId="7" borderId="0" xfId="0" applyNumberFormat="1" applyFont="1" applyFill="1" applyAlignment="1">
      <alignment horizontal="center"/>
    </xf>
    <xf numFmtId="0" fontId="54" fillId="5" borderId="0" xfId="53" applyFont="1" applyFill="1" applyAlignment="1">
      <alignment horizontal="left" indent="1"/>
    </xf>
    <xf numFmtId="41" fontId="54" fillId="5" borderId="0" xfId="0" applyNumberFormat="1" applyFont="1" applyFill="1"/>
    <xf numFmtId="165" fontId="54" fillId="5" borderId="0" xfId="0" applyNumberFormat="1" applyFont="1" applyFill="1" applyAlignment="1">
      <alignment horizontal="right" indent="1"/>
    </xf>
    <xf numFmtId="41" fontId="55" fillId="7" borderId="0" xfId="0" applyNumberFormat="1" applyFont="1" applyFill="1"/>
    <xf numFmtId="0" fontId="54" fillId="5" borderId="0" xfId="53" applyFont="1" applyFill="1" applyAlignment="1">
      <alignment horizontal="left" indent="2"/>
    </xf>
    <xf numFmtId="41" fontId="54" fillId="5" borderId="2" xfId="0" applyNumberFormat="1" applyFont="1" applyFill="1" applyBorder="1"/>
    <xf numFmtId="41" fontId="55" fillId="5" borderId="0" xfId="0" applyNumberFormat="1" applyFont="1" applyFill="1"/>
    <xf numFmtId="3" fontId="55" fillId="7" borderId="0" xfId="0" applyNumberFormat="1" applyFont="1" applyFill="1" applyAlignment="1">
      <alignment horizontal="center"/>
    </xf>
    <xf numFmtId="165" fontId="54" fillId="5" borderId="0" xfId="0" applyNumberFormat="1" applyFont="1" applyFill="1"/>
    <xf numFmtId="165" fontId="54" fillId="5" borderId="2" xfId="0" applyNumberFormat="1" applyFont="1" applyFill="1" applyBorder="1"/>
    <xf numFmtId="0" fontId="55" fillId="5" borderId="0" xfId="53" applyFont="1" applyFill="1" applyAlignment="1">
      <alignment horizontal="left" indent="1"/>
    </xf>
    <xf numFmtId="0" fontId="54" fillId="7" borderId="0" xfId="0" applyFont="1" applyFill="1" applyAlignment="1">
      <alignment wrapText="1"/>
    </xf>
    <xf numFmtId="3" fontId="54" fillId="7" borderId="0" xfId="0" quotePrefix="1" applyNumberFormat="1" applyFont="1" applyFill="1" applyAlignment="1">
      <alignment horizontal="center"/>
    </xf>
    <xf numFmtId="0" fontId="54" fillId="7" borderId="0" xfId="0" applyFont="1" applyFill="1" applyAlignment="1">
      <alignment horizontal="center" wrapText="1"/>
    </xf>
    <xf numFmtId="0" fontId="55" fillId="5" borderId="0" xfId="0" applyFont="1" applyFill="1"/>
    <xf numFmtId="0" fontId="237" fillId="7" borderId="0" xfId="0" applyFont="1" applyFill="1" applyAlignment="1">
      <alignment horizontal="left"/>
    </xf>
    <xf numFmtId="3" fontId="238" fillId="7" borderId="0" xfId="0" applyNumberFormat="1" applyFont="1" applyFill="1" applyAlignment="1">
      <alignment horizontal="left"/>
    </xf>
    <xf numFmtId="41" fontId="54" fillId="7" borderId="0" xfId="0" applyNumberFormat="1" applyFont="1" applyFill="1"/>
    <xf numFmtId="0" fontId="54" fillId="5" borderId="0" xfId="54" applyFont="1" applyFill="1" applyAlignment="1">
      <alignment horizontal="left"/>
    </xf>
    <xf numFmtId="41" fontId="175" fillId="5" borderId="0" xfId="0" applyNumberFormat="1" applyFont="1" applyFill="1"/>
    <xf numFmtId="164" fontId="233" fillId="7" borderId="0" xfId="0" applyNumberFormat="1" applyFont="1" applyFill="1"/>
    <xf numFmtId="0" fontId="232" fillId="7" borderId="0" xfId="0" applyFont="1" applyFill="1"/>
    <xf numFmtId="165" fontId="236" fillId="5" borderId="0" xfId="0" applyNumberFormat="1" applyFont="1" applyFill="1" applyAlignment="1">
      <alignment horizontal="right" indent="1"/>
    </xf>
    <xf numFmtId="0" fontId="55" fillId="5" borderId="0" xfId="53" applyFont="1" applyFill="1" applyAlignment="1">
      <alignment horizontal="left"/>
    </xf>
    <xf numFmtId="0" fontId="55" fillId="5" borderId="0" xfId="49" applyFont="1" applyFill="1" applyAlignment="1">
      <alignment vertical="center"/>
    </xf>
    <xf numFmtId="171" fontId="228" fillId="5" borderId="0" xfId="55" applyNumberFormat="1" applyFont="1" applyFill="1" applyAlignment="1">
      <alignment horizontal="center" vertical="center"/>
    </xf>
    <xf numFmtId="171" fontId="231" fillId="5" borderId="0" xfId="55" applyNumberFormat="1" applyFont="1" applyFill="1" applyAlignment="1">
      <alignment horizontal="center" vertical="center"/>
    </xf>
    <xf numFmtId="165" fontId="55" fillId="5" borderId="0" xfId="4596" applyNumberFormat="1" applyFont="1" applyFill="1" applyAlignment="1">
      <alignment horizontal="center" vertical="center"/>
    </xf>
    <xf numFmtId="168" fontId="228" fillId="5" borderId="0" xfId="55" applyNumberFormat="1" applyFont="1" applyFill="1" applyAlignment="1">
      <alignment horizontal="center" vertical="center"/>
    </xf>
    <xf numFmtId="165" fontId="55" fillId="5" borderId="0" xfId="55" applyNumberFormat="1" applyFont="1" applyFill="1" applyAlignment="1">
      <alignment horizontal="center" vertical="center"/>
    </xf>
    <xf numFmtId="169" fontId="55" fillId="5" borderId="0" xfId="45" applyFont="1" applyFill="1" applyAlignment="1">
      <alignment horizontal="center" vertical="center"/>
    </xf>
    <xf numFmtId="165" fontId="55" fillId="5" borderId="0" xfId="56" applyNumberFormat="1" applyFont="1" applyFill="1" applyAlignment="1">
      <alignment horizontal="center" vertical="center"/>
    </xf>
    <xf numFmtId="169" fontId="228" fillId="5" borderId="0" xfId="45" applyFont="1" applyFill="1" applyAlignment="1">
      <alignment horizontal="center" vertical="center"/>
    </xf>
    <xf numFmtId="4" fontId="55" fillId="5" borderId="0" xfId="55" applyNumberFormat="1" applyFont="1" applyFill="1" applyAlignment="1">
      <alignment horizontal="center" vertical="center"/>
    </xf>
    <xf numFmtId="0" fontId="55" fillId="5" borderId="0" xfId="58" applyFont="1" applyFill="1" applyAlignment="1">
      <alignment horizontal="left" vertical="center" indent="1"/>
    </xf>
    <xf numFmtId="0" fontId="54" fillId="5" borderId="0" xfId="58" applyFont="1" applyFill="1" applyAlignment="1">
      <alignment horizontal="left" vertical="center" indent="2"/>
    </xf>
    <xf numFmtId="3" fontId="54" fillId="5" borderId="0" xfId="55" applyNumberFormat="1" applyFont="1" applyFill="1" applyAlignment="1">
      <alignment horizontal="center" vertical="center"/>
    </xf>
    <xf numFmtId="1" fontId="54" fillId="5" borderId="0" xfId="49" applyNumberFormat="1" applyFont="1" applyFill="1" applyAlignment="1">
      <alignment vertical="center"/>
    </xf>
    <xf numFmtId="0" fontId="54" fillId="5" borderId="0" xfId="49" applyFont="1" applyFill="1" applyAlignment="1">
      <alignment horizontal="center" vertical="center"/>
    </xf>
    <xf numFmtId="3" fontId="54" fillId="5" borderId="0" xfId="56" applyNumberFormat="1" applyFont="1" applyFill="1" applyAlignment="1">
      <alignment horizontal="center" vertical="center"/>
    </xf>
    <xf numFmtId="168" fontId="54" fillId="5" borderId="0" xfId="55" quotePrefix="1" applyNumberFormat="1" applyFont="1" applyFill="1" applyAlignment="1">
      <alignment horizontal="center" vertical="center" wrapText="1"/>
    </xf>
    <xf numFmtId="0" fontId="54" fillId="5" borderId="0" xfId="49" quotePrefix="1" applyFont="1" applyFill="1" applyAlignment="1">
      <alignment horizontal="center" vertical="center"/>
    </xf>
    <xf numFmtId="1" fontId="239" fillId="4" borderId="2" xfId="49" applyNumberFormat="1" applyFont="1" applyFill="1" applyBorder="1" applyAlignment="1">
      <alignment horizontal="center" vertical="center" wrapText="1"/>
    </xf>
    <xf numFmtId="1" fontId="240" fillId="4" borderId="2" xfId="49" applyNumberFormat="1" applyFont="1" applyFill="1" applyBorder="1" applyAlignment="1">
      <alignment horizontal="center" vertical="center" wrapText="1"/>
    </xf>
    <xf numFmtId="1" fontId="240" fillId="4" borderId="0" xfId="49" applyNumberFormat="1" applyFont="1" applyFill="1" applyAlignment="1">
      <alignment horizontal="center" vertical="center"/>
    </xf>
    <xf numFmtId="1" fontId="239" fillId="4" borderId="0" xfId="49" applyNumberFormat="1" applyFont="1" applyFill="1" applyAlignment="1">
      <alignment horizontal="center" vertical="center"/>
    </xf>
    <xf numFmtId="164" fontId="54" fillId="5" borderId="0" xfId="1" applyNumberFormat="1" applyFont="1" applyFill="1" applyBorder="1" applyAlignment="1">
      <alignment horizontal="right" vertical="center"/>
    </xf>
    <xf numFmtId="1" fontId="240" fillId="5" borderId="0" xfId="4595" applyNumberFormat="1" applyFont="1" applyFill="1" applyAlignment="1">
      <alignment horizontal="center"/>
    </xf>
    <xf numFmtId="1" fontId="240" fillId="5" borderId="2" xfId="4595" applyNumberFormat="1" applyFont="1" applyFill="1" applyBorder="1" applyAlignment="1">
      <alignment horizontal="center" vertical="center" wrapText="1"/>
    </xf>
    <xf numFmtId="1" fontId="239" fillId="5" borderId="0" xfId="4595" applyNumberFormat="1" applyFont="1" applyFill="1" applyAlignment="1">
      <alignment horizontal="center"/>
    </xf>
    <xf numFmtId="1" fontId="239" fillId="5" borderId="2" xfId="4595" applyNumberFormat="1" applyFont="1" applyFill="1" applyBorder="1" applyAlignment="1">
      <alignment horizontal="center" vertical="center" wrapText="1"/>
    </xf>
    <xf numFmtId="169" fontId="239" fillId="5" borderId="0" xfId="4594" applyFont="1" applyFill="1" applyAlignment="1">
      <alignment horizontal="center"/>
    </xf>
    <xf numFmtId="2" fontId="239" fillId="5" borderId="0" xfId="4594" applyNumberFormat="1" applyFont="1" applyFill="1" applyAlignment="1">
      <alignment horizontal="right" indent="2"/>
    </xf>
    <xf numFmtId="4" fontId="240" fillId="5" borderId="0" xfId="4596" applyNumberFormat="1" applyFont="1" applyFill="1" applyAlignment="1">
      <alignment horizontal="center"/>
    </xf>
    <xf numFmtId="2" fontId="240" fillId="5" borderId="0" xfId="4596" applyNumberFormat="1" applyFont="1" applyFill="1" applyAlignment="1">
      <alignment horizontal="right" indent="2"/>
    </xf>
    <xf numFmtId="166" fontId="240" fillId="5" borderId="0" xfId="0" applyNumberFormat="1" applyFont="1" applyFill="1" applyAlignment="1">
      <alignment horizontal="right" indent="2"/>
    </xf>
    <xf numFmtId="169" fontId="226" fillId="5" borderId="0" xfId="4594" applyFont="1" applyFill="1" applyAlignment="1">
      <alignment horizontal="center"/>
    </xf>
    <xf numFmtId="165" fontId="226" fillId="0" borderId="0" xfId="59" applyNumberFormat="1" applyFont="1" applyAlignment="1">
      <alignment horizontal="right" indent="2"/>
    </xf>
    <xf numFmtId="0" fontId="55" fillId="5" borderId="2" xfId="0" applyFont="1" applyFill="1" applyBorder="1" applyAlignment="1">
      <alignment horizontal="center"/>
    </xf>
    <xf numFmtId="0" fontId="55" fillId="5" borderId="0" xfId="0" applyFont="1" applyFill="1" applyAlignment="1">
      <alignment horizontal="center"/>
    </xf>
    <xf numFmtId="0" fontId="54" fillId="5" borderId="0" xfId="0" applyFont="1" applyFill="1" applyAlignment="1">
      <alignment horizontal="center"/>
    </xf>
    <xf numFmtId="41" fontId="54" fillId="5" borderId="3" xfId="0" applyNumberFormat="1" applyFont="1" applyFill="1" applyBorder="1"/>
    <xf numFmtId="10" fontId="55" fillId="5" borderId="0" xfId="0" applyNumberFormat="1" applyFont="1" applyFill="1" applyAlignment="1">
      <alignment horizontal="right" indent="1"/>
    </xf>
    <xf numFmtId="0" fontId="55" fillId="5" borderId="4" xfId="53" applyFont="1" applyFill="1" applyBorder="1" applyAlignment="1">
      <alignment horizontal="left"/>
    </xf>
    <xf numFmtId="41" fontId="55" fillId="5" borderId="4" xfId="0" applyNumberFormat="1" applyFont="1" applyFill="1" applyBorder="1"/>
    <xf numFmtId="165" fontId="55" fillId="5" borderId="4" xfId="0" applyNumberFormat="1" applyFont="1" applyFill="1" applyBorder="1" applyAlignment="1">
      <alignment horizontal="right" indent="1"/>
    </xf>
    <xf numFmtId="3" fontId="54" fillId="7" borderId="0" xfId="50" applyNumberFormat="1" applyFont="1" applyFill="1"/>
    <xf numFmtId="3" fontId="54" fillId="7" borderId="0" xfId="50" applyNumberFormat="1" applyFont="1" applyFill="1" applyAlignment="1">
      <alignment horizontal="center"/>
    </xf>
    <xf numFmtId="2" fontId="54" fillId="7" borderId="0" xfId="0" applyNumberFormat="1" applyFont="1" applyFill="1"/>
    <xf numFmtId="3" fontId="54" fillId="7" borderId="0" xfId="0" applyNumberFormat="1" applyFont="1" applyFill="1" applyAlignment="1">
      <alignment horizontal="left" indent="1"/>
    </xf>
    <xf numFmtId="0" fontId="54" fillId="7" borderId="0" xfId="53" quotePrefix="1" applyFont="1" applyFill="1" applyAlignment="1">
      <alignment horizontal="center"/>
    </xf>
    <xf numFmtId="0" fontId="55" fillId="7" borderId="0" xfId="53" applyFont="1" applyFill="1" applyAlignment="1">
      <alignment horizontal="left"/>
    </xf>
    <xf numFmtId="164" fontId="54" fillId="7" borderId="0" xfId="0" applyNumberFormat="1" applyFont="1" applyFill="1"/>
    <xf numFmtId="165" fontId="236" fillId="7" borderId="0" xfId="0" applyNumberFormat="1" applyFont="1" applyFill="1" applyAlignment="1">
      <alignment horizontal="right" indent="1"/>
    </xf>
    <xf numFmtId="2" fontId="54" fillId="7" borderId="0" xfId="0" applyNumberFormat="1" applyFont="1" applyFill="1" applyAlignment="1">
      <alignment horizontal="center"/>
    </xf>
    <xf numFmtId="164" fontId="55" fillId="64" borderId="0" xfId="1" applyNumberFormat="1" applyFont="1" applyFill="1" applyAlignment="1">
      <alignment vertical="center"/>
    </xf>
    <xf numFmtId="1" fontId="55" fillId="64" borderId="0" xfId="1" applyNumberFormat="1" applyFont="1" applyFill="1" applyAlignment="1">
      <alignment horizontal="center" vertical="center"/>
    </xf>
    <xf numFmtId="2" fontId="224" fillId="7" borderId="0" xfId="0" applyNumberFormat="1" applyFont="1" applyFill="1"/>
    <xf numFmtId="41" fontId="54" fillId="62" borderId="0" xfId="0" applyNumberFormat="1" applyFont="1" applyFill="1"/>
    <xf numFmtId="0" fontId="55" fillId="0" borderId="0" xfId="0" applyFont="1" applyAlignment="1">
      <alignment horizontal="left" vertical="center" indent="3"/>
    </xf>
    <xf numFmtId="0" fontId="241" fillId="5" borderId="0" xfId="53" applyFont="1" applyFill="1" applyAlignment="1">
      <alignment horizontal="left" indent="7"/>
    </xf>
    <xf numFmtId="41" fontId="241" fillId="62" borderId="0" xfId="0" applyNumberFormat="1" applyFont="1" applyFill="1"/>
    <xf numFmtId="201" fontId="241" fillId="62" borderId="0" xfId="0" applyNumberFormat="1" applyFont="1" applyFill="1"/>
    <xf numFmtId="165" fontId="241" fillId="5" borderId="0" xfId="0" applyNumberFormat="1" applyFont="1" applyFill="1" applyAlignment="1">
      <alignment horizontal="right" indent="1"/>
    </xf>
    <xf numFmtId="0" fontId="241" fillId="5" borderId="0" xfId="53" quotePrefix="1" applyFont="1" applyFill="1" applyAlignment="1">
      <alignment horizontal="center"/>
    </xf>
    <xf numFmtId="0" fontId="241" fillId="7" borderId="0" xfId="0" applyFont="1" applyFill="1"/>
    <xf numFmtId="3" fontId="241" fillId="7" borderId="0" xfId="0" applyNumberFormat="1" applyFont="1" applyFill="1"/>
    <xf numFmtId="3" fontId="241" fillId="7" borderId="0" xfId="0" applyNumberFormat="1" applyFont="1" applyFill="1" applyAlignment="1">
      <alignment horizontal="center"/>
    </xf>
    <xf numFmtId="43" fontId="241" fillId="7" borderId="0" xfId="1" applyFont="1" applyFill="1" applyBorder="1"/>
    <xf numFmtId="200" fontId="241" fillId="62" borderId="0" xfId="0" applyNumberFormat="1" applyFont="1" applyFill="1"/>
    <xf numFmtId="167" fontId="45" fillId="7" borderId="0" xfId="53" applyNumberFormat="1" applyFill="1" applyAlignment="1">
      <alignment horizontal="left" vertical="center"/>
    </xf>
    <xf numFmtId="10" fontId="45" fillId="7" borderId="0" xfId="53" applyNumberFormat="1" applyFill="1" applyAlignment="1">
      <alignment vertical="center"/>
    </xf>
    <xf numFmtId="0" fontId="55" fillId="4" borderId="3" xfId="51" applyFont="1" applyFill="1" applyBorder="1" applyAlignment="1">
      <alignment horizontal="left" vertical="center"/>
    </xf>
    <xf numFmtId="164" fontId="55" fillId="4" borderId="3" xfId="2" applyNumberFormat="1" applyFont="1" applyFill="1" applyBorder="1" applyAlignment="1">
      <alignment vertical="center"/>
    </xf>
    <xf numFmtId="164" fontId="55" fillId="5" borderId="3" xfId="2" applyNumberFormat="1" applyFont="1" applyFill="1" applyBorder="1" applyAlignment="1">
      <alignment vertical="center"/>
    </xf>
    <xf numFmtId="0" fontId="55" fillId="4" borderId="3" xfId="53" applyFont="1" applyFill="1" applyBorder="1" applyAlignment="1">
      <alignment horizontal="left" vertical="center"/>
    </xf>
    <xf numFmtId="164" fontId="55" fillId="4" borderId="3" xfId="1" applyNumberFormat="1" applyFont="1" applyFill="1" applyBorder="1" applyAlignment="1">
      <alignment horizontal="right" vertical="center"/>
    </xf>
    <xf numFmtId="10" fontId="54" fillId="4" borderId="3" xfId="53" applyNumberFormat="1" applyFont="1" applyFill="1" applyBorder="1" applyAlignment="1">
      <alignment vertical="center"/>
    </xf>
    <xf numFmtId="37" fontId="54" fillId="3" borderId="0" xfId="58" applyNumberFormat="1" applyFont="1" applyFill="1"/>
    <xf numFmtId="41" fontId="55" fillId="5" borderId="3" xfId="0" applyNumberFormat="1" applyFont="1" applyFill="1" applyBorder="1"/>
    <xf numFmtId="168" fontId="54" fillId="3" borderId="0" xfId="55" applyNumberFormat="1" applyFont="1" applyFill="1" applyAlignment="1">
      <alignment horizontal="right"/>
    </xf>
    <xf numFmtId="1" fontId="54" fillId="3" borderId="0" xfId="49" applyNumberFormat="1" applyFont="1" applyFill="1" applyAlignment="1">
      <alignment horizontal="right"/>
    </xf>
    <xf numFmtId="2" fontId="240" fillId="5" borderId="0" xfId="0" applyNumberFormat="1" applyFont="1" applyFill="1" applyAlignment="1">
      <alignment horizontal="right" indent="2"/>
    </xf>
    <xf numFmtId="164" fontId="54" fillId="62" borderId="0" xfId="0" applyNumberFormat="1" applyFont="1" applyFill="1"/>
    <xf numFmtId="43" fontId="54" fillId="7" borderId="0" xfId="0" applyNumberFormat="1" applyFont="1" applyFill="1"/>
    <xf numFmtId="3" fontId="54" fillId="7" borderId="0" xfId="0" quotePrefix="1" applyNumberFormat="1" applyFont="1" applyFill="1"/>
    <xf numFmtId="0" fontId="54" fillId="5" borderId="0" xfId="0" applyFont="1" applyFill="1" applyAlignment="1">
      <alignment horizontal="center" vertical="center"/>
    </xf>
    <xf numFmtId="164" fontId="54" fillId="7" borderId="0" xfId="1" applyNumberFormat="1" applyFont="1" applyFill="1" applyAlignment="1">
      <alignment horizontal="left"/>
    </xf>
    <xf numFmtId="164" fontId="54" fillId="7" borderId="0" xfId="0" applyNumberFormat="1" applyFont="1" applyFill="1" applyAlignment="1">
      <alignment horizontal="left"/>
    </xf>
    <xf numFmtId="180" fontId="54" fillId="7" borderId="0" xfId="0" applyNumberFormat="1" applyFont="1" applyFill="1" applyAlignment="1">
      <alignment vertical="center"/>
    </xf>
    <xf numFmtId="202" fontId="54" fillId="7" borderId="0" xfId="59" applyNumberFormat="1" applyFont="1" applyFill="1"/>
    <xf numFmtId="164" fontId="241" fillId="62" borderId="0" xfId="1" applyNumberFormat="1" applyFont="1" applyFill="1"/>
    <xf numFmtId="175" fontId="54" fillId="5" borderId="0" xfId="1" applyNumberFormat="1" applyFont="1" applyFill="1" applyBorder="1" applyAlignment="1">
      <alignment horizontal="right" vertical="center"/>
    </xf>
    <xf numFmtId="1" fontId="55" fillId="5" borderId="2" xfId="53" applyNumberFormat="1" applyFont="1" applyFill="1" applyBorder="1" applyAlignment="1">
      <alignment horizontal="center" vertical="center" wrapText="1"/>
    </xf>
    <xf numFmtId="164" fontId="55" fillId="5" borderId="3" xfId="1" applyNumberFormat="1" applyFont="1" applyFill="1" applyBorder="1" applyAlignment="1">
      <alignment horizontal="right" vertical="center"/>
    </xf>
    <xf numFmtId="0" fontId="55" fillId="5" borderId="0" xfId="58" applyFont="1" applyFill="1" applyAlignment="1">
      <alignment horizontal="left" indent="2"/>
    </xf>
    <xf numFmtId="0" fontId="55" fillId="5" borderId="25" xfId="0" applyFont="1" applyFill="1" applyBorder="1" applyAlignment="1">
      <alignment horizontal="center"/>
    </xf>
    <xf numFmtId="164" fontId="241" fillId="5" borderId="0" xfId="1" applyNumberFormat="1" applyFont="1" applyFill="1" applyAlignment="1">
      <alignment horizontal="right" indent="1"/>
    </xf>
    <xf numFmtId="41" fontId="241" fillId="82" borderId="0" xfId="0" applyNumberFormat="1" applyFont="1" applyFill="1"/>
    <xf numFmtId="201" fontId="241" fillId="82" borderId="0" xfId="0" applyNumberFormat="1" applyFont="1" applyFill="1"/>
    <xf numFmtId="200" fontId="241" fillId="82" borderId="0" xfId="0" applyNumberFormat="1" applyFont="1" applyFill="1"/>
    <xf numFmtId="0" fontId="241" fillId="82" borderId="0" xfId="0" applyFont="1" applyFill="1"/>
    <xf numFmtId="2" fontId="52" fillId="4" borderId="0" xfId="50" applyNumberFormat="1" applyFont="1" applyFill="1" applyAlignment="1">
      <alignment horizontal="center" vertical="center"/>
    </xf>
    <xf numFmtId="0" fontId="54" fillId="0" borderId="0" xfId="0" applyFont="1" applyAlignment="1">
      <alignment wrapText="1"/>
    </xf>
    <xf numFmtId="1" fontId="55" fillId="4" borderId="0" xfId="58" applyNumberFormat="1" applyFont="1" applyFill="1" applyAlignment="1">
      <alignment horizontal="center"/>
    </xf>
    <xf numFmtId="0" fontId="54" fillId="82" borderId="0" xfId="0" applyFont="1" applyFill="1"/>
    <xf numFmtId="165" fontId="54" fillId="7" borderId="0" xfId="59" applyNumberFormat="1" applyFont="1" applyFill="1"/>
    <xf numFmtId="10" fontId="55" fillId="4" borderId="0" xfId="59" applyNumberFormat="1" applyFont="1" applyFill="1" applyAlignment="1">
      <alignment vertical="center"/>
    </xf>
    <xf numFmtId="170" fontId="55" fillId="4" borderId="0" xfId="48" applyNumberFormat="1" applyFont="1" applyFill="1" applyAlignment="1">
      <alignment vertical="center" wrapText="1"/>
    </xf>
    <xf numFmtId="170" fontId="55" fillId="4" borderId="2" xfId="48" applyNumberFormat="1" applyFont="1" applyFill="1" applyBorder="1" applyAlignment="1">
      <alignment vertical="center" wrapText="1"/>
    </xf>
    <xf numFmtId="170" fontId="55" fillId="4" borderId="0" xfId="48" applyNumberFormat="1" applyFont="1" applyFill="1" applyAlignment="1">
      <alignment vertical="center"/>
    </xf>
    <xf numFmtId="170" fontId="55" fillId="4" borderId="2" xfId="48" applyNumberFormat="1" applyFont="1" applyFill="1" applyBorder="1" applyAlignment="1">
      <alignment vertical="center"/>
    </xf>
    <xf numFmtId="0" fontId="55" fillId="4" borderId="0" xfId="48" applyFont="1" applyFill="1" applyAlignment="1">
      <alignment vertical="center" wrapText="1"/>
    </xf>
    <xf numFmtId="0" fontId="55" fillId="4" borderId="2" xfId="48" applyFont="1" applyFill="1" applyBorder="1" applyAlignment="1">
      <alignment vertical="center" wrapText="1"/>
    </xf>
    <xf numFmtId="0" fontId="55" fillId="4" borderId="0" xfId="51" applyFont="1" applyFill="1" applyAlignment="1">
      <alignment vertical="center"/>
    </xf>
    <xf numFmtId="0" fontId="55" fillId="4" borderId="2" xfId="51" applyFont="1" applyFill="1" applyBorder="1" applyAlignment="1">
      <alignment vertical="center"/>
    </xf>
    <xf numFmtId="0" fontId="55" fillId="4" borderId="0" xfId="48" applyFont="1" applyFill="1" applyAlignment="1">
      <alignment horizontal="center" vertical="center" wrapText="1"/>
    </xf>
    <xf numFmtId="0" fontId="55" fillId="4" borderId="2" xfId="48" applyFont="1" applyFill="1" applyBorder="1" applyAlignment="1">
      <alignment horizontal="center" vertical="center" wrapText="1"/>
    </xf>
    <xf numFmtId="170" fontId="55" fillId="4" borderId="0" xfId="48" applyNumberFormat="1" applyFont="1" applyFill="1" applyAlignment="1">
      <alignment horizontal="center" vertical="center" wrapText="1"/>
    </xf>
    <xf numFmtId="170" fontId="55" fillId="4" borderId="2" xfId="48" applyNumberFormat="1" applyFont="1" applyFill="1" applyBorder="1" applyAlignment="1">
      <alignment horizontal="center" vertical="center" wrapText="1"/>
    </xf>
    <xf numFmtId="170" fontId="55" fillId="4" borderId="0" xfId="48" applyNumberFormat="1" applyFont="1" applyFill="1" applyAlignment="1">
      <alignment horizontal="center" vertical="center"/>
    </xf>
    <xf numFmtId="0" fontId="54" fillId="0" borderId="0" xfId="0" applyFont="1" applyAlignment="1">
      <alignment horizontal="center" vertical="center"/>
    </xf>
    <xf numFmtId="2" fontId="52" fillId="4" borderId="0" xfId="51" applyNumberFormat="1" applyFont="1" applyFill="1" applyAlignment="1">
      <alignment horizontal="center" vertical="center"/>
    </xf>
    <xf numFmtId="2" fontId="51" fillId="4" borderId="0" xfId="51" quotePrefix="1" applyNumberFormat="1" applyFont="1" applyFill="1" applyAlignment="1">
      <alignment horizontal="center" vertical="center"/>
    </xf>
    <xf numFmtId="2" fontId="51" fillId="4" borderId="0" xfId="51" applyNumberFormat="1" applyFont="1" applyFill="1" applyAlignment="1">
      <alignment horizontal="center" vertical="center"/>
    </xf>
    <xf numFmtId="2" fontId="52" fillId="4" borderId="0" xfId="50" applyNumberFormat="1" applyFont="1" applyFill="1" applyAlignment="1">
      <alignment horizontal="center" vertical="center"/>
    </xf>
    <xf numFmtId="0" fontId="55" fillId="4" borderId="0" xfId="48" applyFont="1" applyFill="1" applyAlignment="1">
      <alignment horizontal="center" vertical="center"/>
    </xf>
    <xf numFmtId="0" fontId="55" fillId="4" borderId="2" xfId="48" applyFont="1" applyFill="1" applyBorder="1" applyAlignment="1">
      <alignment horizontal="center" vertical="center"/>
    </xf>
    <xf numFmtId="170" fontId="55" fillId="4" borderId="2" xfId="48" applyNumberFormat="1" applyFont="1" applyFill="1" applyBorder="1" applyAlignment="1">
      <alignment horizontal="center" vertical="center"/>
    </xf>
    <xf numFmtId="1" fontId="55" fillId="4" borderId="0" xfId="48" applyNumberFormat="1" applyFont="1" applyFill="1" applyAlignment="1">
      <alignment horizontal="center" vertical="center"/>
    </xf>
    <xf numFmtId="1" fontId="55" fillId="4" borderId="2" xfId="48" applyNumberFormat="1" applyFont="1" applyFill="1" applyBorder="1" applyAlignment="1">
      <alignment horizontal="center" vertical="center"/>
    </xf>
    <xf numFmtId="0" fontId="55" fillId="4" borderId="0" xfId="47" applyNumberFormat="1" applyFont="1" applyFill="1" applyAlignment="1">
      <alignment horizontal="center" vertical="center"/>
    </xf>
    <xf numFmtId="0" fontId="55" fillId="4" borderId="2" xfId="47" applyNumberFormat="1" applyFont="1" applyFill="1" applyBorder="1" applyAlignment="1">
      <alignment horizontal="center" vertical="center"/>
    </xf>
    <xf numFmtId="0" fontId="57" fillId="3" borderId="0" xfId="53" applyFont="1" applyFill="1" applyAlignment="1">
      <alignment vertical="center" wrapText="1"/>
    </xf>
    <xf numFmtId="0" fontId="45" fillId="0" borderId="0" xfId="0" applyFont="1" applyAlignment="1">
      <alignment vertical="center" wrapText="1"/>
    </xf>
    <xf numFmtId="0" fontId="54" fillId="4" borderId="0" xfId="49" applyFont="1" applyFill="1" applyAlignment="1">
      <alignment horizontal="left" vertical="center"/>
    </xf>
    <xf numFmtId="2" fontId="51" fillId="4" borderId="0" xfId="50" quotePrefix="1" applyNumberFormat="1" applyFont="1" applyFill="1" applyAlignment="1">
      <alignment horizontal="center" vertical="center"/>
    </xf>
    <xf numFmtId="0" fontId="54" fillId="4" borderId="0" xfId="58" applyFont="1" applyFill="1" applyAlignment="1">
      <alignment wrapText="1"/>
    </xf>
    <xf numFmtId="0" fontId="54" fillId="0" borderId="0" xfId="0" applyFont="1" applyAlignment="1">
      <alignment wrapText="1"/>
    </xf>
    <xf numFmtId="2" fontId="52" fillId="4" borderId="0" xfId="52" applyNumberFormat="1" applyFont="1" applyFill="1" applyAlignment="1">
      <alignment horizontal="center" vertical="center"/>
    </xf>
    <xf numFmtId="2" fontId="234" fillId="5" borderId="0" xfId="4594" applyNumberFormat="1" applyFont="1" applyFill="1" applyAlignment="1">
      <alignment horizontal="center" vertical="center"/>
    </xf>
    <xf numFmtId="0" fontId="52" fillId="0" borderId="0" xfId="0" applyFont="1" applyAlignment="1">
      <alignment horizontal="center" vertical="center"/>
    </xf>
    <xf numFmtId="0" fontId="225" fillId="0" borderId="0" xfId="0" applyFont="1" applyAlignment="1">
      <alignment horizontal="center" vertical="center"/>
    </xf>
    <xf numFmtId="0" fontId="55" fillId="0" borderId="0" xfId="0" applyFont="1" applyAlignment="1">
      <alignment horizontal="center" vertical="center"/>
    </xf>
    <xf numFmtId="2" fontId="52" fillId="5" borderId="0" xfId="50" applyNumberFormat="1" applyFont="1" applyFill="1" applyAlignment="1">
      <alignment horizontal="center" vertical="center"/>
    </xf>
    <xf numFmtId="0" fontId="55" fillId="5" borderId="0" xfId="0" applyFont="1" applyFill="1" applyAlignment="1">
      <alignment horizontal="center"/>
    </xf>
    <xf numFmtId="0" fontId="54" fillId="5" borderId="0" xfId="0" applyFont="1" applyFill="1" applyAlignment="1">
      <alignment horizontal="center"/>
    </xf>
    <xf numFmtId="0" fontId="55" fillId="5" borderId="2" xfId="0" applyFont="1" applyFill="1" applyBorder="1" applyAlignment="1">
      <alignment horizontal="center"/>
    </xf>
    <xf numFmtId="0" fontId="55" fillId="5" borderId="0" xfId="0" applyFont="1" applyFill="1" applyAlignment="1">
      <alignment horizontal="center" vertical="center" wrapText="1"/>
    </xf>
    <xf numFmtId="0" fontId="55" fillId="5" borderId="2" xfId="0" applyFont="1" applyFill="1" applyBorder="1" applyAlignment="1">
      <alignment horizontal="center" vertical="center" wrapText="1"/>
    </xf>
    <xf numFmtId="172" fontId="54" fillId="5" borderId="0" xfId="51" applyNumberFormat="1" applyFont="1" applyFill="1" applyAlignment="1">
      <alignment vertical="center"/>
    </xf>
    <xf numFmtId="165" fontId="54" fillId="5" borderId="0" xfId="51" applyNumberFormat="1" applyFont="1" applyFill="1" applyAlignment="1">
      <alignment vertical="center"/>
    </xf>
    <xf numFmtId="164" fontId="54" fillId="5" borderId="0" xfId="2" applyNumberFormat="1" applyFont="1" applyFill="1" applyBorder="1" applyAlignment="1">
      <alignment vertical="center"/>
    </xf>
    <xf numFmtId="0" fontId="45" fillId="7" borderId="0" xfId="53" applyFill="1" applyAlignment="1">
      <alignment vertical="center"/>
    </xf>
    <xf numFmtId="164" fontId="45" fillId="7" borderId="0" xfId="1" applyNumberFormat="1" applyFont="1" applyFill="1" applyAlignment="1">
      <alignment vertical="center"/>
    </xf>
    <xf numFmtId="41" fontId="57" fillId="7" borderId="0" xfId="1" applyNumberFormat="1" applyFont="1" applyFill="1" applyAlignment="1">
      <alignment horizontal="right" vertical="center"/>
    </xf>
    <xf numFmtId="10" fontId="45" fillId="7" borderId="0" xfId="59" applyNumberFormat="1" applyFont="1" applyFill="1" applyBorder="1" applyAlignment="1">
      <alignment vertical="center"/>
    </xf>
    <xf numFmtId="10" fontId="57" fillId="7" borderId="0" xfId="59" applyNumberFormat="1" applyFont="1" applyFill="1" applyBorder="1" applyAlignment="1">
      <alignment vertical="center"/>
    </xf>
    <xf numFmtId="0" fontId="57" fillId="7" borderId="2" xfId="53" applyFont="1" applyFill="1" applyBorder="1" applyAlignment="1">
      <alignment horizontal="center" vertical="center"/>
    </xf>
    <xf numFmtId="10" fontId="45" fillId="7" borderId="0" xfId="59" applyNumberFormat="1" applyFont="1" applyFill="1" applyAlignment="1">
      <alignment vertical="center"/>
    </xf>
    <xf numFmtId="10" fontId="57" fillId="7" borderId="0" xfId="59" applyNumberFormat="1" applyFont="1" applyFill="1" applyAlignment="1">
      <alignment horizontal="right" vertical="center"/>
    </xf>
    <xf numFmtId="10" fontId="57" fillId="7" borderId="0" xfId="59" applyNumberFormat="1" applyFont="1" applyFill="1" applyAlignment="1">
      <alignment vertical="center"/>
    </xf>
    <xf numFmtId="174" fontId="57" fillId="7" borderId="0" xfId="1" applyNumberFormat="1" applyFont="1" applyFill="1" applyAlignment="1">
      <alignment vertical="center"/>
    </xf>
    <xf numFmtId="1" fontId="45" fillId="7" borderId="0" xfId="53" applyNumberFormat="1" applyFill="1" applyAlignment="1">
      <alignment vertical="center"/>
    </xf>
    <xf numFmtId="0" fontId="45" fillId="7" borderId="0" xfId="53" applyFont="1" applyFill="1" applyAlignment="1">
      <alignment horizontal="center" vertical="center"/>
    </xf>
    <xf numFmtId="3" fontId="224" fillId="5" borderId="0" xfId="49" applyNumberFormat="1" applyFont="1" applyFill="1" applyAlignment="1">
      <alignment vertical="center"/>
    </xf>
    <xf numFmtId="3" fontId="54" fillId="5" borderId="0" xfId="49" applyNumberFormat="1" applyFont="1" applyFill="1" applyAlignment="1">
      <alignment vertical="center"/>
    </xf>
    <xf numFmtId="164" fontId="54" fillId="7" borderId="0" xfId="1" applyNumberFormat="1" applyFont="1" applyFill="1" applyBorder="1" applyAlignment="1">
      <alignment vertical="center"/>
    </xf>
    <xf numFmtId="3" fontId="54" fillId="5" borderId="2" xfId="58" applyNumberFormat="1" applyFont="1" applyFill="1" applyBorder="1"/>
    <xf numFmtId="3" fontId="54" fillId="5" borderId="0" xfId="58" applyNumberFormat="1" applyFont="1" applyFill="1" applyBorder="1" applyAlignment="1">
      <alignment horizontal="right" vertical="center" indent="1"/>
    </xf>
    <xf numFmtId="3" fontId="54" fillId="5" borderId="2" xfId="58" applyNumberFormat="1" applyFont="1" applyFill="1" applyBorder="1" applyAlignment="1">
      <alignment horizontal="right" vertical="center" indent="1"/>
    </xf>
    <xf numFmtId="3" fontId="54" fillId="5" borderId="3" xfId="55" applyNumberFormat="1" applyFont="1" applyFill="1" applyBorder="1"/>
    <xf numFmtId="9" fontId="54" fillId="5" borderId="0" xfId="59" applyFont="1" applyFill="1" applyBorder="1"/>
    <xf numFmtId="4" fontId="54" fillId="5" borderId="0" xfId="55" applyNumberFormat="1" applyFont="1" applyFill="1" applyAlignment="1">
      <alignment horizontal="right"/>
    </xf>
    <xf numFmtId="3" fontId="54" fillId="5" borderId="2" xfId="55" applyNumberFormat="1" applyFont="1" applyFill="1" applyBorder="1"/>
    <xf numFmtId="3" fontId="55" fillId="5" borderId="0" xfId="55" applyNumberFormat="1" applyFont="1" applyFill="1"/>
    <xf numFmtId="10" fontId="55" fillId="5" borderId="0" xfId="59" applyNumberFormat="1" applyFont="1" applyFill="1" applyBorder="1"/>
    <xf numFmtId="10" fontId="54" fillId="5" borderId="0" xfId="59" applyNumberFormat="1" applyFont="1" applyFill="1" applyBorder="1"/>
    <xf numFmtId="164" fontId="54" fillId="5" borderId="0" xfId="1" applyNumberFormat="1" applyFont="1" applyFill="1"/>
    <xf numFmtId="9" fontId="55" fillId="5" borderId="0" xfId="59" applyFont="1" applyFill="1" applyBorder="1"/>
    <xf numFmtId="43" fontId="54" fillId="5" borderId="0" xfId="1" applyFont="1" applyFill="1" applyBorder="1"/>
    <xf numFmtId="173" fontId="54" fillId="5" borderId="0" xfId="1" applyNumberFormat="1" applyFont="1" applyFill="1" applyBorder="1"/>
    <xf numFmtId="164" fontId="54" fillId="5" borderId="0" xfId="1" applyNumberFormat="1" applyFont="1" applyFill="1" applyBorder="1"/>
    <xf numFmtId="3" fontId="54" fillId="5" borderId="0" xfId="55" applyNumberFormat="1" applyFont="1" applyFill="1" applyAlignment="1">
      <alignment horizontal="right"/>
    </xf>
    <xf numFmtId="166" fontId="54" fillId="5" borderId="0" xfId="49" applyNumberFormat="1" applyFont="1" applyFill="1"/>
    <xf numFmtId="41" fontId="54" fillId="5" borderId="2" xfId="55" applyNumberFormat="1" applyFont="1" applyFill="1" applyBorder="1"/>
    <xf numFmtId="3" fontId="54" fillId="5" borderId="3" xfId="50" applyNumberFormat="1" applyFont="1" applyFill="1" applyBorder="1" applyAlignment="1">
      <alignment horizontal="right" indent="1"/>
    </xf>
    <xf numFmtId="1" fontId="54" fillId="5" borderId="0" xfId="53" applyNumberFormat="1" applyFont="1" applyFill="1" applyAlignment="1">
      <alignment horizontal="centerContinuous"/>
    </xf>
    <xf numFmtId="169" fontId="54" fillId="5" borderId="0" xfId="44" applyFont="1" applyFill="1" applyAlignment="1">
      <alignment horizontal="centerContinuous"/>
    </xf>
    <xf numFmtId="169" fontId="54" fillId="5" borderId="0" xfId="44" applyFont="1" applyFill="1"/>
    <xf numFmtId="3" fontId="54" fillId="5" borderId="0" xfId="44" applyNumberFormat="1" applyFont="1" applyFill="1"/>
    <xf numFmtId="10" fontId="54" fillId="5" borderId="0" xfId="1" applyNumberFormat="1" applyFont="1" applyFill="1" applyAlignment="1">
      <alignment horizontal="right" indent="1"/>
    </xf>
    <xf numFmtId="3" fontId="54" fillId="5" borderId="0" xfId="50" applyNumberFormat="1" applyFont="1" applyFill="1" applyAlignment="1">
      <alignment horizontal="centerContinuous"/>
    </xf>
    <xf numFmtId="3" fontId="54" fillId="5" borderId="2" xfId="50" applyNumberFormat="1" applyFont="1" applyFill="1" applyBorder="1" applyAlignment="1">
      <alignment horizontal="right" indent="1"/>
    </xf>
    <xf numFmtId="10" fontId="54" fillId="5" borderId="0" xfId="59" applyNumberFormat="1" applyFont="1" applyFill="1" applyBorder="1" applyAlignment="1">
      <alignment horizontal="right" indent="1"/>
    </xf>
    <xf numFmtId="4" fontId="54" fillId="5" borderId="0" xfId="44" applyNumberFormat="1" applyFont="1" applyFill="1"/>
    <xf numFmtId="168" fontId="54" fillId="5" borderId="0" xfId="44" applyNumberFormat="1" applyFont="1" applyFill="1"/>
    <xf numFmtId="2" fontId="54" fillId="5" borderId="0" xfId="55" applyNumberFormat="1" applyFont="1" applyFill="1"/>
    <xf numFmtId="0" fontId="54" fillId="5" borderId="0" xfId="55" applyFont="1" applyFill="1"/>
    <xf numFmtId="166" fontId="54" fillId="5" borderId="0" xfId="55" applyNumberFormat="1" applyFont="1" applyFill="1"/>
    <xf numFmtId="3" fontId="54" fillId="5" borderId="0" xfId="49" applyNumberFormat="1" applyFont="1" applyFill="1"/>
    <xf numFmtId="177" fontId="54" fillId="5" borderId="0" xfId="49" applyNumberFormat="1" applyFont="1" applyFill="1"/>
    <xf numFmtId="3" fontId="54" fillId="5" borderId="3" xfId="56" applyNumberFormat="1" applyFont="1" applyFill="1" applyBorder="1"/>
    <xf numFmtId="2" fontId="54" fillId="5" borderId="0" xfId="49" applyNumberFormat="1" applyFont="1" applyFill="1" applyAlignment="1">
      <alignment horizontal="right" indent="1"/>
    </xf>
    <xf numFmtId="203" fontId="54" fillId="5" borderId="0" xfId="49" applyNumberFormat="1" applyFont="1" applyFill="1"/>
    <xf numFmtId="2" fontId="239" fillId="5" borderId="0" xfId="0" applyNumberFormat="1" applyFont="1" applyFill="1" applyAlignment="1">
      <alignment horizontal="right" indent="2"/>
    </xf>
    <xf numFmtId="166" fontId="239" fillId="5" borderId="0" xfId="0" applyNumberFormat="1" applyFont="1" applyFill="1" applyAlignment="1">
      <alignment horizontal="right" indent="2"/>
    </xf>
    <xf numFmtId="199" fontId="54" fillId="5" borderId="0" xfId="0" applyNumberFormat="1" applyFont="1" applyFill="1" applyAlignment="1">
      <alignment horizontal="center" vertical="center"/>
    </xf>
    <xf numFmtId="43" fontId="54" fillId="5" borderId="0" xfId="1" applyFont="1" applyFill="1" applyBorder="1" applyAlignment="1">
      <alignment horizontal="right" vertical="center"/>
    </xf>
    <xf numFmtId="199" fontId="54" fillId="5" borderId="0" xfId="0" applyNumberFormat="1" applyFont="1" applyFill="1" applyAlignment="1">
      <alignment horizontal="right" vertical="center"/>
    </xf>
    <xf numFmtId="9" fontId="54" fillId="5" borderId="0" xfId="59" applyFont="1" applyFill="1" applyBorder="1" applyAlignment="1">
      <alignment horizontal="center" vertical="center"/>
    </xf>
    <xf numFmtId="0" fontId="55" fillId="5" borderId="0" xfId="0" applyFont="1" applyFill="1" applyAlignment="1">
      <alignment horizontal="center" vertical="center"/>
    </xf>
    <xf numFmtId="0" fontId="55" fillId="5" borderId="0" xfId="0" applyFont="1" applyFill="1" applyAlignment="1">
      <alignment horizontal="right" vertical="center"/>
    </xf>
    <xf numFmtId="166" fontId="54" fillId="5" borderId="0" xfId="0" applyNumberFormat="1" applyFont="1" applyFill="1" applyAlignment="1">
      <alignment horizontal="right" vertical="center"/>
    </xf>
    <xf numFmtId="166" fontId="54" fillId="5" borderId="0" xfId="0" applyNumberFormat="1" applyFont="1" applyFill="1" applyAlignment="1">
      <alignment horizontal="center" vertical="center"/>
    </xf>
    <xf numFmtId="0" fontId="54" fillId="5" borderId="0" xfId="0" applyFont="1" applyFill="1" applyAlignment="1">
      <alignment vertical="center"/>
    </xf>
    <xf numFmtId="1" fontId="54" fillId="5" borderId="0" xfId="0" applyNumberFormat="1" applyFont="1" applyFill="1" applyAlignment="1">
      <alignment horizontal="right" vertical="center"/>
    </xf>
    <xf numFmtId="2" fontId="54" fillId="5" borderId="0" xfId="0" applyNumberFormat="1" applyFont="1" applyFill="1" applyAlignment="1">
      <alignment vertical="center"/>
    </xf>
    <xf numFmtId="43" fontId="54" fillId="5" borderId="0" xfId="0" applyNumberFormat="1" applyFont="1" applyFill="1" applyAlignment="1">
      <alignment horizontal="right" vertical="center"/>
    </xf>
    <xf numFmtId="164" fontId="55" fillId="5" borderId="0" xfId="1" applyNumberFormat="1" applyFont="1" applyFill="1" applyBorder="1" applyAlignment="1">
      <alignment horizontal="right" vertical="center"/>
    </xf>
    <xf numFmtId="180" fontId="54" fillId="5" borderId="0" xfId="0" applyNumberFormat="1" applyFont="1" applyFill="1" applyAlignment="1">
      <alignment horizontal="right" vertical="center"/>
    </xf>
    <xf numFmtId="4" fontId="231" fillId="5" borderId="0" xfId="55" applyNumberFormat="1" applyFont="1" applyFill="1" applyAlignment="1">
      <alignment horizontal="center" vertical="center"/>
    </xf>
    <xf numFmtId="4" fontId="228" fillId="5" borderId="0" xfId="55" applyNumberFormat="1" applyFont="1" applyFill="1" applyAlignment="1">
      <alignment horizontal="center" vertical="center"/>
    </xf>
    <xf numFmtId="4" fontId="228" fillId="5" borderId="0" xfId="56" applyNumberFormat="1" applyFont="1" applyFill="1" applyAlignment="1">
      <alignment horizontal="center" vertical="center"/>
    </xf>
    <xf numFmtId="4" fontId="231" fillId="5" borderId="0" xfId="56" applyNumberFormat="1" applyFont="1" applyFill="1" applyAlignment="1">
      <alignment horizontal="center" vertical="center"/>
    </xf>
    <xf numFmtId="168" fontId="228" fillId="5" borderId="0" xfId="56" applyNumberFormat="1" applyFont="1" applyFill="1" applyAlignment="1">
      <alignment horizontal="center" vertical="center"/>
    </xf>
    <xf numFmtId="168" fontId="231" fillId="5" borderId="0" xfId="56" applyNumberFormat="1" applyFont="1" applyFill="1" applyAlignment="1">
      <alignment horizontal="center" vertical="center"/>
    </xf>
  </cellXfs>
  <cellStyles count="5638">
    <cellStyle name="_%(SignOnly)" xfId="865" xr:uid="{00000000-0005-0000-0000-000000000000}"/>
    <cellStyle name="_%(SignOnly) 2" xfId="866" xr:uid="{00000000-0005-0000-0000-000001000000}"/>
    <cellStyle name="_%(SignOnly) 2 2" xfId="867" xr:uid="{00000000-0005-0000-0000-000002000000}"/>
    <cellStyle name="_%(SignOnly) 3" xfId="868" xr:uid="{00000000-0005-0000-0000-000003000000}"/>
    <cellStyle name="_%(SignSpaceOnly)" xfId="869" xr:uid="{00000000-0005-0000-0000-000004000000}"/>
    <cellStyle name="_%(SignSpaceOnly) 2" xfId="870" xr:uid="{00000000-0005-0000-0000-000005000000}"/>
    <cellStyle name="_%(SignSpaceOnly) 2 2" xfId="871" xr:uid="{00000000-0005-0000-0000-000006000000}"/>
    <cellStyle name="_%(SignSpaceOnly) 3" xfId="872" xr:uid="{00000000-0005-0000-0000-000007000000}"/>
    <cellStyle name="_Chelan Debt Forecast 12.19.05" xfId="873" xr:uid="{00000000-0005-0000-0000-000008000000}"/>
    <cellStyle name="_Chelan Debt Forecast 12.19.05 2" xfId="3889" xr:uid="{00000000-0005-0000-0000-000009000000}"/>
    <cellStyle name="_Comma" xfId="874" xr:uid="{00000000-0005-0000-0000-00000A000000}"/>
    <cellStyle name="_Comma 2" xfId="875" xr:uid="{00000000-0005-0000-0000-00000B000000}"/>
    <cellStyle name="_Comma 2 2" xfId="876" xr:uid="{00000000-0005-0000-0000-00000C000000}"/>
    <cellStyle name="_Comma 3" xfId="877" xr:uid="{00000000-0005-0000-0000-00000D000000}"/>
    <cellStyle name="_Costs not in AURORA 06GRC" xfId="878" xr:uid="{00000000-0005-0000-0000-00000E000000}"/>
    <cellStyle name="_Costs not in AURORA 06GRC 2" xfId="3890" xr:uid="{00000000-0005-0000-0000-00000F000000}"/>
    <cellStyle name="_Costs not in KWI3000 '06Budget" xfId="879" xr:uid="{00000000-0005-0000-0000-000010000000}"/>
    <cellStyle name="_Costs not in KWI3000 '06Budget 2" xfId="3891" xr:uid="{00000000-0005-0000-0000-000011000000}"/>
    <cellStyle name="_Currency" xfId="880" xr:uid="{00000000-0005-0000-0000-000012000000}"/>
    <cellStyle name="_Currency 2" xfId="881" xr:uid="{00000000-0005-0000-0000-000013000000}"/>
    <cellStyle name="_Currency 2 2" xfId="882" xr:uid="{00000000-0005-0000-0000-000014000000}"/>
    <cellStyle name="_Currency 3" xfId="883" xr:uid="{00000000-0005-0000-0000-000015000000}"/>
    <cellStyle name="_CurrencySpace" xfId="884" xr:uid="{00000000-0005-0000-0000-000016000000}"/>
    <cellStyle name="_CurrencySpace 2" xfId="885" xr:uid="{00000000-0005-0000-0000-000017000000}"/>
    <cellStyle name="_CurrencySpace 2 2" xfId="886" xr:uid="{00000000-0005-0000-0000-000018000000}"/>
    <cellStyle name="_CurrencySpace 3" xfId="887" xr:uid="{00000000-0005-0000-0000-000019000000}"/>
    <cellStyle name="_Euro" xfId="888" xr:uid="{00000000-0005-0000-0000-00001A000000}"/>
    <cellStyle name="_Euro 2" xfId="889" xr:uid="{00000000-0005-0000-0000-00001B000000}"/>
    <cellStyle name="_Euro 2 2" xfId="890" xr:uid="{00000000-0005-0000-0000-00001C000000}"/>
    <cellStyle name="_Euro 3" xfId="891" xr:uid="{00000000-0005-0000-0000-00001D000000}"/>
    <cellStyle name="_Fuel Prices 4-14" xfId="892" xr:uid="{00000000-0005-0000-0000-00001E000000}"/>
    <cellStyle name="_Fuel Prices 4-14 2" xfId="3892" xr:uid="{00000000-0005-0000-0000-00001F000000}"/>
    <cellStyle name="_Heading" xfId="893" xr:uid="{00000000-0005-0000-0000-000020000000}"/>
    <cellStyle name="_Highlight" xfId="894" xr:uid="{00000000-0005-0000-0000-000021000000}"/>
    <cellStyle name="_Highlight 2" xfId="895" xr:uid="{00000000-0005-0000-0000-000022000000}"/>
    <cellStyle name="_Highlight 2 2" xfId="896" xr:uid="{00000000-0005-0000-0000-000023000000}"/>
    <cellStyle name="_Highlight 3" xfId="897" xr:uid="{00000000-0005-0000-0000-000024000000}"/>
    <cellStyle name="_Multiple" xfId="898" xr:uid="{00000000-0005-0000-0000-000025000000}"/>
    <cellStyle name="_Multiple 2" xfId="899" xr:uid="{00000000-0005-0000-0000-000026000000}"/>
    <cellStyle name="_Multiple 2 2" xfId="900" xr:uid="{00000000-0005-0000-0000-000027000000}"/>
    <cellStyle name="_Multiple 3" xfId="901" xr:uid="{00000000-0005-0000-0000-000028000000}"/>
    <cellStyle name="_MultipleSpace" xfId="902" xr:uid="{00000000-0005-0000-0000-000029000000}"/>
    <cellStyle name="_MultipleSpace 2" xfId="903" xr:uid="{00000000-0005-0000-0000-00002A000000}"/>
    <cellStyle name="_MultipleSpace 2 2" xfId="904" xr:uid="{00000000-0005-0000-0000-00002B000000}"/>
    <cellStyle name="_MultipleSpace 3" xfId="905" xr:uid="{00000000-0005-0000-0000-00002C000000}"/>
    <cellStyle name="_Power Cost Value Copy 11.30.05 gas 1.09.06 AURORA at 1.10.06" xfId="906" xr:uid="{00000000-0005-0000-0000-00002D000000}"/>
    <cellStyle name="_Power Cost Value Copy 11.30.05 gas 1.09.06 AURORA at 1.10.06 2" xfId="3893" xr:uid="{00000000-0005-0000-0000-00002E000000}"/>
    <cellStyle name="_Recon to Darrin's 5.11.05 proforma" xfId="907" xr:uid="{00000000-0005-0000-0000-00002F000000}"/>
    <cellStyle name="_Recon to Darrin's 5.11.05 proforma 2" xfId="3894" xr:uid="{00000000-0005-0000-0000-000030000000}"/>
    <cellStyle name="_SubHeading" xfId="908" xr:uid="{00000000-0005-0000-0000-000031000000}"/>
    <cellStyle name="_Table" xfId="909" xr:uid="{00000000-0005-0000-0000-000032000000}"/>
    <cellStyle name="_Table_QC" xfId="910" xr:uid="{00000000-0005-0000-0000-000033000000}"/>
    <cellStyle name="_TableHead" xfId="911" xr:uid="{00000000-0005-0000-0000-000034000000}"/>
    <cellStyle name="_TableHead_QC" xfId="912" xr:uid="{00000000-0005-0000-0000-000035000000}"/>
    <cellStyle name="_TableRowHead" xfId="913" xr:uid="{00000000-0005-0000-0000-000036000000}"/>
    <cellStyle name="_TableSuperHead" xfId="914" xr:uid="{00000000-0005-0000-0000-000037000000}"/>
    <cellStyle name="_Value Copy 11 30 05 gas 12 09 05 AURORA at 12 14 05" xfId="915" xr:uid="{00000000-0005-0000-0000-000038000000}"/>
    <cellStyle name="_Value Copy 11 30 05 gas 12 09 05 AURORA at 12 14 05 2" xfId="3895" xr:uid="{00000000-0005-0000-0000-000039000000}"/>
    <cellStyle name="20% - Accent1" xfId="4614" builtinId="30" customBuiltin="1"/>
    <cellStyle name="20% - Accent1 2" xfId="72" xr:uid="{00000000-0005-0000-0000-00003B000000}"/>
    <cellStyle name="20% - Accent1 2 2" xfId="73" xr:uid="{00000000-0005-0000-0000-00003C000000}"/>
    <cellStyle name="20% - Accent1 2 2 2" xfId="916" xr:uid="{00000000-0005-0000-0000-00003D000000}"/>
    <cellStyle name="20% - Accent1 2 2 2 2" xfId="917" xr:uid="{00000000-0005-0000-0000-00003E000000}"/>
    <cellStyle name="20% - Accent1 2 2 3" xfId="918" xr:uid="{00000000-0005-0000-0000-00003F000000}"/>
    <cellStyle name="20% - Accent1 2 2 3 2" xfId="919" xr:uid="{00000000-0005-0000-0000-000040000000}"/>
    <cellStyle name="20% - Accent1 2 2 4" xfId="920" xr:uid="{00000000-0005-0000-0000-000041000000}"/>
    <cellStyle name="20% - Accent1 2 2 5" xfId="921" xr:uid="{00000000-0005-0000-0000-000042000000}"/>
    <cellStyle name="20% - Accent1 2 3" xfId="74" xr:uid="{00000000-0005-0000-0000-000043000000}"/>
    <cellStyle name="20% - Accent1 2 3 2" xfId="3570" xr:uid="{00000000-0005-0000-0000-000044000000}"/>
    <cellStyle name="20% - Accent1 2 4" xfId="922" xr:uid="{00000000-0005-0000-0000-000045000000}"/>
    <cellStyle name="20% - Accent1 2 5" xfId="923" xr:uid="{00000000-0005-0000-0000-000046000000}"/>
    <cellStyle name="20% - Accent1 2 6" xfId="924" xr:uid="{00000000-0005-0000-0000-000047000000}"/>
    <cellStyle name="20% - Accent1 2 6 2" xfId="3571" xr:uid="{00000000-0005-0000-0000-000048000000}"/>
    <cellStyle name="20% - Accent1 2 7" xfId="925" xr:uid="{00000000-0005-0000-0000-000049000000}"/>
    <cellStyle name="20% - Accent1 2_QC Sheet" xfId="926" xr:uid="{00000000-0005-0000-0000-00004A000000}"/>
    <cellStyle name="20% - Accent1 3" xfId="75" xr:uid="{00000000-0005-0000-0000-00004B000000}"/>
    <cellStyle name="20% - Accent1 3 2" xfId="927" xr:uid="{00000000-0005-0000-0000-00004C000000}"/>
    <cellStyle name="20% - Accent1 4" xfId="76" xr:uid="{00000000-0005-0000-0000-00004D000000}"/>
    <cellStyle name="20% - Accent1 4 2" xfId="928" xr:uid="{00000000-0005-0000-0000-00004E000000}"/>
    <cellStyle name="20% - Accent1 4 2 2" xfId="5100" xr:uid="{00000000-0005-0000-0000-00004F000000}"/>
    <cellStyle name="20% - Accent1 4 3" xfId="3772" xr:uid="{00000000-0005-0000-0000-000050000000}"/>
    <cellStyle name="20% - Accent1 4 4" xfId="4638" xr:uid="{00000000-0005-0000-0000-000051000000}"/>
    <cellStyle name="20% - Accent1 5" xfId="929" xr:uid="{00000000-0005-0000-0000-000052000000}"/>
    <cellStyle name="20% - Accent1 6" xfId="930" xr:uid="{00000000-0005-0000-0000-000053000000}"/>
    <cellStyle name="20% - Accent1 7" xfId="931" xr:uid="{00000000-0005-0000-0000-000054000000}"/>
    <cellStyle name="20% - Accent1 7 2" xfId="932" xr:uid="{00000000-0005-0000-0000-000055000000}"/>
    <cellStyle name="20% - Accent1 7 2 2" xfId="5493" xr:uid="{00000000-0005-0000-0000-000056000000}"/>
    <cellStyle name="20% - Accent2" xfId="4617" builtinId="34" customBuiltin="1"/>
    <cellStyle name="20% - Accent2 2" xfId="77" xr:uid="{00000000-0005-0000-0000-000058000000}"/>
    <cellStyle name="20% - Accent2 2 2" xfId="78" xr:uid="{00000000-0005-0000-0000-000059000000}"/>
    <cellStyle name="20% - Accent2 2 2 2" xfId="933" xr:uid="{00000000-0005-0000-0000-00005A000000}"/>
    <cellStyle name="20% - Accent2 2 2 2 2" xfId="934" xr:uid="{00000000-0005-0000-0000-00005B000000}"/>
    <cellStyle name="20% - Accent2 2 2 3" xfId="935" xr:uid="{00000000-0005-0000-0000-00005C000000}"/>
    <cellStyle name="20% - Accent2 2 2 3 2" xfId="936" xr:uid="{00000000-0005-0000-0000-00005D000000}"/>
    <cellStyle name="20% - Accent2 2 2 4" xfId="937" xr:uid="{00000000-0005-0000-0000-00005E000000}"/>
    <cellStyle name="20% - Accent2 2 2 5" xfId="938" xr:uid="{00000000-0005-0000-0000-00005F000000}"/>
    <cellStyle name="20% - Accent2 2 3" xfId="79" xr:uid="{00000000-0005-0000-0000-000060000000}"/>
    <cellStyle name="20% - Accent2 2 3 2" xfId="3572" xr:uid="{00000000-0005-0000-0000-000061000000}"/>
    <cellStyle name="20% - Accent2 2 4" xfId="939" xr:uid="{00000000-0005-0000-0000-000062000000}"/>
    <cellStyle name="20% - Accent2 2 5" xfId="940" xr:uid="{00000000-0005-0000-0000-000063000000}"/>
    <cellStyle name="20% - Accent2 2 6" xfId="941" xr:uid="{00000000-0005-0000-0000-000064000000}"/>
    <cellStyle name="20% - Accent2 2 6 2" xfId="3573" xr:uid="{00000000-0005-0000-0000-000065000000}"/>
    <cellStyle name="20% - Accent2 2 7" xfId="942" xr:uid="{00000000-0005-0000-0000-000066000000}"/>
    <cellStyle name="20% - Accent2 2_QC Sheet" xfId="943" xr:uid="{00000000-0005-0000-0000-000067000000}"/>
    <cellStyle name="20% - Accent2 3" xfId="80" xr:uid="{00000000-0005-0000-0000-000068000000}"/>
    <cellStyle name="20% - Accent2 3 2" xfId="944" xr:uid="{00000000-0005-0000-0000-000069000000}"/>
    <cellStyle name="20% - Accent2 4" xfId="81" xr:uid="{00000000-0005-0000-0000-00006A000000}"/>
    <cellStyle name="20% - Accent2 4 2" xfId="945" xr:uid="{00000000-0005-0000-0000-00006B000000}"/>
    <cellStyle name="20% - Accent2 4 2 2" xfId="5064" xr:uid="{00000000-0005-0000-0000-00006C000000}"/>
    <cellStyle name="20% - Accent2 4 3" xfId="3773" xr:uid="{00000000-0005-0000-0000-00006D000000}"/>
    <cellStyle name="20% - Accent2 4 4" xfId="4639" xr:uid="{00000000-0005-0000-0000-00006E000000}"/>
    <cellStyle name="20% - Accent2 5" xfId="946" xr:uid="{00000000-0005-0000-0000-00006F000000}"/>
    <cellStyle name="20% - Accent2 6" xfId="947" xr:uid="{00000000-0005-0000-0000-000070000000}"/>
    <cellStyle name="20% - Accent2 7" xfId="948" xr:uid="{00000000-0005-0000-0000-000071000000}"/>
    <cellStyle name="20% - Accent2 7 2" xfId="949" xr:uid="{00000000-0005-0000-0000-000072000000}"/>
    <cellStyle name="20% - Accent2 7 2 2" xfId="5495" xr:uid="{00000000-0005-0000-0000-000073000000}"/>
    <cellStyle name="20% - Accent3" xfId="4621" builtinId="38" customBuiltin="1"/>
    <cellStyle name="20% - Accent3 2" xfId="82" xr:uid="{00000000-0005-0000-0000-000075000000}"/>
    <cellStyle name="20% - Accent3 2 2" xfId="83" xr:uid="{00000000-0005-0000-0000-000076000000}"/>
    <cellStyle name="20% - Accent3 2 2 2" xfId="950" xr:uid="{00000000-0005-0000-0000-000077000000}"/>
    <cellStyle name="20% - Accent3 2 2 2 2" xfId="951" xr:uid="{00000000-0005-0000-0000-000078000000}"/>
    <cellStyle name="20% - Accent3 2 2 3" xfId="952" xr:uid="{00000000-0005-0000-0000-000079000000}"/>
    <cellStyle name="20% - Accent3 2 2 3 2" xfId="953" xr:uid="{00000000-0005-0000-0000-00007A000000}"/>
    <cellStyle name="20% - Accent3 2 2 4" xfId="954" xr:uid="{00000000-0005-0000-0000-00007B000000}"/>
    <cellStyle name="20% - Accent3 2 2 5" xfId="955" xr:uid="{00000000-0005-0000-0000-00007C000000}"/>
    <cellStyle name="20% - Accent3 2 3" xfId="84" xr:uid="{00000000-0005-0000-0000-00007D000000}"/>
    <cellStyle name="20% - Accent3 2 3 2" xfId="3574" xr:uid="{00000000-0005-0000-0000-00007E000000}"/>
    <cellStyle name="20% - Accent3 2 4" xfId="956" xr:uid="{00000000-0005-0000-0000-00007F000000}"/>
    <cellStyle name="20% - Accent3 2 5" xfId="957" xr:uid="{00000000-0005-0000-0000-000080000000}"/>
    <cellStyle name="20% - Accent3 2 6" xfId="958" xr:uid="{00000000-0005-0000-0000-000081000000}"/>
    <cellStyle name="20% - Accent3 2 6 2" xfId="3575" xr:uid="{00000000-0005-0000-0000-000082000000}"/>
    <cellStyle name="20% - Accent3 2 7" xfId="959" xr:uid="{00000000-0005-0000-0000-000083000000}"/>
    <cellStyle name="20% - Accent3 2_QC Sheet" xfId="960" xr:uid="{00000000-0005-0000-0000-000084000000}"/>
    <cellStyle name="20% - Accent3 3" xfId="85" xr:uid="{00000000-0005-0000-0000-000085000000}"/>
    <cellStyle name="20% - Accent3 3 2" xfId="961" xr:uid="{00000000-0005-0000-0000-000086000000}"/>
    <cellStyle name="20% - Accent3 4" xfId="86" xr:uid="{00000000-0005-0000-0000-000087000000}"/>
    <cellStyle name="20% - Accent3 4 2" xfId="962" xr:uid="{00000000-0005-0000-0000-000088000000}"/>
    <cellStyle name="20% - Accent3 4 2 2" xfId="5113" xr:uid="{00000000-0005-0000-0000-000089000000}"/>
    <cellStyle name="20% - Accent3 4 3" xfId="3774" xr:uid="{00000000-0005-0000-0000-00008A000000}"/>
    <cellStyle name="20% - Accent3 4 4" xfId="4640" xr:uid="{00000000-0005-0000-0000-00008B000000}"/>
    <cellStyle name="20% - Accent3 5" xfId="963" xr:uid="{00000000-0005-0000-0000-00008C000000}"/>
    <cellStyle name="20% - Accent3 6" xfId="964" xr:uid="{00000000-0005-0000-0000-00008D000000}"/>
    <cellStyle name="20% - Accent3 7" xfId="965" xr:uid="{00000000-0005-0000-0000-00008E000000}"/>
    <cellStyle name="20% - Accent3 7 2" xfId="966" xr:uid="{00000000-0005-0000-0000-00008F000000}"/>
    <cellStyle name="20% - Accent3 7 2 2" xfId="5497" xr:uid="{00000000-0005-0000-0000-000090000000}"/>
    <cellStyle name="20% - Accent4" xfId="4625" builtinId="42" customBuiltin="1"/>
    <cellStyle name="20% - Accent4 2" xfId="87" xr:uid="{00000000-0005-0000-0000-000092000000}"/>
    <cellStyle name="20% - Accent4 2 2" xfId="88" xr:uid="{00000000-0005-0000-0000-000093000000}"/>
    <cellStyle name="20% - Accent4 2 2 2" xfId="967" xr:uid="{00000000-0005-0000-0000-000094000000}"/>
    <cellStyle name="20% - Accent4 2 2 2 2" xfId="968" xr:uid="{00000000-0005-0000-0000-000095000000}"/>
    <cellStyle name="20% - Accent4 2 2 3" xfId="969" xr:uid="{00000000-0005-0000-0000-000096000000}"/>
    <cellStyle name="20% - Accent4 2 2 3 2" xfId="970" xr:uid="{00000000-0005-0000-0000-000097000000}"/>
    <cellStyle name="20% - Accent4 2 2 4" xfId="971" xr:uid="{00000000-0005-0000-0000-000098000000}"/>
    <cellStyle name="20% - Accent4 2 2 5" xfId="972" xr:uid="{00000000-0005-0000-0000-000099000000}"/>
    <cellStyle name="20% - Accent4 2 3" xfId="89" xr:uid="{00000000-0005-0000-0000-00009A000000}"/>
    <cellStyle name="20% - Accent4 2 3 2" xfId="3576" xr:uid="{00000000-0005-0000-0000-00009B000000}"/>
    <cellStyle name="20% - Accent4 2 4" xfId="973" xr:uid="{00000000-0005-0000-0000-00009C000000}"/>
    <cellStyle name="20% - Accent4 2 5" xfId="974" xr:uid="{00000000-0005-0000-0000-00009D000000}"/>
    <cellStyle name="20% - Accent4 2 6" xfId="975" xr:uid="{00000000-0005-0000-0000-00009E000000}"/>
    <cellStyle name="20% - Accent4 2 6 2" xfId="3577" xr:uid="{00000000-0005-0000-0000-00009F000000}"/>
    <cellStyle name="20% - Accent4 2 7" xfId="976" xr:uid="{00000000-0005-0000-0000-0000A0000000}"/>
    <cellStyle name="20% - Accent4 2_QC Sheet" xfId="977" xr:uid="{00000000-0005-0000-0000-0000A1000000}"/>
    <cellStyle name="20% - Accent4 3" xfId="90" xr:uid="{00000000-0005-0000-0000-0000A2000000}"/>
    <cellStyle name="20% - Accent4 3 2" xfId="978" xr:uid="{00000000-0005-0000-0000-0000A3000000}"/>
    <cellStyle name="20% - Accent4 4" xfId="91" xr:uid="{00000000-0005-0000-0000-0000A4000000}"/>
    <cellStyle name="20% - Accent4 4 2" xfId="979" xr:uid="{00000000-0005-0000-0000-0000A5000000}"/>
    <cellStyle name="20% - Accent4 4 2 2" xfId="5108" xr:uid="{00000000-0005-0000-0000-0000A6000000}"/>
    <cellStyle name="20% - Accent4 4 3" xfId="3775" xr:uid="{00000000-0005-0000-0000-0000A7000000}"/>
    <cellStyle name="20% - Accent4 4 4" xfId="4641" xr:uid="{00000000-0005-0000-0000-0000A8000000}"/>
    <cellStyle name="20% - Accent4 5" xfId="980" xr:uid="{00000000-0005-0000-0000-0000A9000000}"/>
    <cellStyle name="20% - Accent4 6" xfId="981" xr:uid="{00000000-0005-0000-0000-0000AA000000}"/>
    <cellStyle name="20% - Accent4 7" xfId="982" xr:uid="{00000000-0005-0000-0000-0000AB000000}"/>
    <cellStyle name="20% - Accent4 7 2" xfId="983" xr:uid="{00000000-0005-0000-0000-0000AC000000}"/>
    <cellStyle name="20% - Accent4 7 2 2" xfId="5499" xr:uid="{00000000-0005-0000-0000-0000AD000000}"/>
    <cellStyle name="20% - Accent5" xfId="4629" builtinId="46" customBuiltin="1"/>
    <cellStyle name="20% - Accent5 2" xfId="92" xr:uid="{00000000-0005-0000-0000-0000AF000000}"/>
    <cellStyle name="20% - Accent5 2 2" xfId="93" xr:uid="{00000000-0005-0000-0000-0000B0000000}"/>
    <cellStyle name="20% - Accent5 2 2 2" xfId="984" xr:uid="{00000000-0005-0000-0000-0000B1000000}"/>
    <cellStyle name="20% - Accent5 2 2 2 2" xfId="985" xr:uid="{00000000-0005-0000-0000-0000B2000000}"/>
    <cellStyle name="20% - Accent5 2 2 3" xfId="986" xr:uid="{00000000-0005-0000-0000-0000B3000000}"/>
    <cellStyle name="20% - Accent5 2 2 3 2" xfId="987" xr:uid="{00000000-0005-0000-0000-0000B4000000}"/>
    <cellStyle name="20% - Accent5 2 2 4" xfId="988" xr:uid="{00000000-0005-0000-0000-0000B5000000}"/>
    <cellStyle name="20% - Accent5 2 2 5" xfId="989" xr:uid="{00000000-0005-0000-0000-0000B6000000}"/>
    <cellStyle name="20% - Accent5 2 3" xfId="94" xr:uid="{00000000-0005-0000-0000-0000B7000000}"/>
    <cellStyle name="20% - Accent5 2 4" xfId="990" xr:uid="{00000000-0005-0000-0000-0000B8000000}"/>
    <cellStyle name="20% - Accent5 2 5" xfId="991" xr:uid="{00000000-0005-0000-0000-0000B9000000}"/>
    <cellStyle name="20% - Accent5 2 6" xfId="992" xr:uid="{00000000-0005-0000-0000-0000BA000000}"/>
    <cellStyle name="20% - Accent5 2 6 2" xfId="3578" xr:uid="{00000000-0005-0000-0000-0000BB000000}"/>
    <cellStyle name="20% - Accent5 2_QC Sheet" xfId="993" xr:uid="{00000000-0005-0000-0000-0000BC000000}"/>
    <cellStyle name="20% - Accent5 3" xfId="95" xr:uid="{00000000-0005-0000-0000-0000BD000000}"/>
    <cellStyle name="20% - Accent5 3 2" xfId="994" xr:uid="{00000000-0005-0000-0000-0000BE000000}"/>
    <cellStyle name="20% - Accent5 4" xfId="96" xr:uid="{00000000-0005-0000-0000-0000BF000000}"/>
    <cellStyle name="20% - Accent5 4 2" xfId="995" xr:uid="{00000000-0005-0000-0000-0000C0000000}"/>
    <cellStyle name="20% - Accent5 4 2 2" xfId="5095" xr:uid="{00000000-0005-0000-0000-0000C1000000}"/>
    <cellStyle name="20% - Accent5 4 3" xfId="3776" xr:uid="{00000000-0005-0000-0000-0000C2000000}"/>
    <cellStyle name="20% - Accent5 4 4" xfId="4642" xr:uid="{00000000-0005-0000-0000-0000C3000000}"/>
    <cellStyle name="20% - Accent5 5" xfId="996" xr:uid="{00000000-0005-0000-0000-0000C4000000}"/>
    <cellStyle name="20% - Accent5 6" xfId="997" xr:uid="{00000000-0005-0000-0000-0000C5000000}"/>
    <cellStyle name="20% - Accent5 7" xfId="998" xr:uid="{00000000-0005-0000-0000-0000C6000000}"/>
    <cellStyle name="20% - Accent5 7 2" xfId="999" xr:uid="{00000000-0005-0000-0000-0000C7000000}"/>
    <cellStyle name="20% - Accent5 7 2 2" xfId="5501" xr:uid="{00000000-0005-0000-0000-0000C8000000}"/>
    <cellStyle name="20% - Accent6" xfId="4633" builtinId="50" customBuiltin="1"/>
    <cellStyle name="20% - Accent6 2" xfId="97" xr:uid="{00000000-0005-0000-0000-0000CA000000}"/>
    <cellStyle name="20% - Accent6 2 2" xfId="98" xr:uid="{00000000-0005-0000-0000-0000CB000000}"/>
    <cellStyle name="20% - Accent6 2 2 2" xfId="1000" xr:uid="{00000000-0005-0000-0000-0000CC000000}"/>
    <cellStyle name="20% - Accent6 2 2 2 2" xfId="1001" xr:uid="{00000000-0005-0000-0000-0000CD000000}"/>
    <cellStyle name="20% - Accent6 2 2 3" xfId="1002" xr:uid="{00000000-0005-0000-0000-0000CE000000}"/>
    <cellStyle name="20% - Accent6 2 2 3 2" xfId="1003" xr:uid="{00000000-0005-0000-0000-0000CF000000}"/>
    <cellStyle name="20% - Accent6 2 2 4" xfId="1004" xr:uid="{00000000-0005-0000-0000-0000D0000000}"/>
    <cellStyle name="20% - Accent6 2 2 5" xfId="1005" xr:uid="{00000000-0005-0000-0000-0000D1000000}"/>
    <cellStyle name="20% - Accent6 2 3" xfId="99" xr:uid="{00000000-0005-0000-0000-0000D2000000}"/>
    <cellStyle name="20% - Accent6 2 4" xfId="1006" xr:uid="{00000000-0005-0000-0000-0000D3000000}"/>
    <cellStyle name="20% - Accent6 2 5" xfId="1007" xr:uid="{00000000-0005-0000-0000-0000D4000000}"/>
    <cellStyle name="20% - Accent6 2 6" xfId="1008" xr:uid="{00000000-0005-0000-0000-0000D5000000}"/>
    <cellStyle name="20% - Accent6 2 6 2" xfId="3579" xr:uid="{00000000-0005-0000-0000-0000D6000000}"/>
    <cellStyle name="20% - Accent6 2_QC Sheet" xfId="1009" xr:uid="{00000000-0005-0000-0000-0000D7000000}"/>
    <cellStyle name="20% - Accent6 3" xfId="100" xr:uid="{00000000-0005-0000-0000-0000D8000000}"/>
    <cellStyle name="20% - Accent6 3 2" xfId="1010" xr:uid="{00000000-0005-0000-0000-0000D9000000}"/>
    <cellStyle name="20% - Accent6 4" xfId="101" xr:uid="{00000000-0005-0000-0000-0000DA000000}"/>
    <cellStyle name="20% - Accent6 4 2" xfId="1011" xr:uid="{00000000-0005-0000-0000-0000DB000000}"/>
    <cellStyle name="20% - Accent6 4 2 2" xfId="5085" xr:uid="{00000000-0005-0000-0000-0000DC000000}"/>
    <cellStyle name="20% - Accent6 4 3" xfId="3777" xr:uid="{00000000-0005-0000-0000-0000DD000000}"/>
    <cellStyle name="20% - Accent6 4 4" xfId="4643" xr:uid="{00000000-0005-0000-0000-0000DE000000}"/>
    <cellStyle name="20% - Accent6 5" xfId="1012" xr:uid="{00000000-0005-0000-0000-0000DF000000}"/>
    <cellStyle name="20% - Accent6 6" xfId="1013" xr:uid="{00000000-0005-0000-0000-0000E0000000}"/>
    <cellStyle name="20% - Accent6 7" xfId="1014" xr:uid="{00000000-0005-0000-0000-0000E1000000}"/>
    <cellStyle name="20% - Accent6 7 2" xfId="1015" xr:uid="{00000000-0005-0000-0000-0000E2000000}"/>
    <cellStyle name="20% - Accent6 7 2 2" xfId="5503" xr:uid="{00000000-0005-0000-0000-0000E3000000}"/>
    <cellStyle name="40% - Accent1" xfId="4615" builtinId="31" customBuiltin="1"/>
    <cellStyle name="40% - Accent1 2" xfId="102" xr:uid="{00000000-0005-0000-0000-0000E5000000}"/>
    <cellStyle name="40% - Accent1 2 2" xfId="103" xr:uid="{00000000-0005-0000-0000-0000E6000000}"/>
    <cellStyle name="40% - Accent1 2 2 2" xfId="1016" xr:uid="{00000000-0005-0000-0000-0000E7000000}"/>
    <cellStyle name="40% - Accent1 2 2 2 2" xfId="1017" xr:uid="{00000000-0005-0000-0000-0000E8000000}"/>
    <cellStyle name="40% - Accent1 2 2 3" xfId="1018" xr:uid="{00000000-0005-0000-0000-0000E9000000}"/>
    <cellStyle name="40% - Accent1 2 2 3 2" xfId="1019" xr:uid="{00000000-0005-0000-0000-0000EA000000}"/>
    <cellStyle name="40% - Accent1 2 2 4" xfId="1020" xr:uid="{00000000-0005-0000-0000-0000EB000000}"/>
    <cellStyle name="40% - Accent1 2 2 5" xfId="1021" xr:uid="{00000000-0005-0000-0000-0000EC000000}"/>
    <cellStyle name="40% - Accent1 2 3" xfId="104" xr:uid="{00000000-0005-0000-0000-0000ED000000}"/>
    <cellStyle name="40% - Accent1 2 3 2" xfId="3580" xr:uid="{00000000-0005-0000-0000-0000EE000000}"/>
    <cellStyle name="40% - Accent1 2 4" xfId="1022" xr:uid="{00000000-0005-0000-0000-0000EF000000}"/>
    <cellStyle name="40% - Accent1 2 5" xfId="1023" xr:uid="{00000000-0005-0000-0000-0000F0000000}"/>
    <cellStyle name="40% - Accent1 2 6" xfId="1024" xr:uid="{00000000-0005-0000-0000-0000F1000000}"/>
    <cellStyle name="40% - Accent1 2 6 2" xfId="3581" xr:uid="{00000000-0005-0000-0000-0000F2000000}"/>
    <cellStyle name="40% - Accent1 2 7" xfId="1025" xr:uid="{00000000-0005-0000-0000-0000F3000000}"/>
    <cellStyle name="40% - Accent1 2_QC Sheet" xfId="1026" xr:uid="{00000000-0005-0000-0000-0000F4000000}"/>
    <cellStyle name="40% - Accent1 3" xfId="105" xr:uid="{00000000-0005-0000-0000-0000F5000000}"/>
    <cellStyle name="40% - Accent1 3 2" xfId="1027" xr:uid="{00000000-0005-0000-0000-0000F6000000}"/>
    <cellStyle name="40% - Accent1 4" xfId="106" xr:uid="{00000000-0005-0000-0000-0000F7000000}"/>
    <cellStyle name="40% - Accent1 4 2" xfId="1028" xr:uid="{00000000-0005-0000-0000-0000F8000000}"/>
    <cellStyle name="40% - Accent1 4 2 2" xfId="5065" xr:uid="{00000000-0005-0000-0000-0000F9000000}"/>
    <cellStyle name="40% - Accent1 4 3" xfId="3778" xr:uid="{00000000-0005-0000-0000-0000FA000000}"/>
    <cellStyle name="40% - Accent1 4 4" xfId="4644" xr:uid="{00000000-0005-0000-0000-0000FB000000}"/>
    <cellStyle name="40% - Accent1 5" xfId="1029" xr:uid="{00000000-0005-0000-0000-0000FC000000}"/>
    <cellStyle name="40% - Accent1 6" xfId="1030" xr:uid="{00000000-0005-0000-0000-0000FD000000}"/>
    <cellStyle name="40% - Accent1 7" xfId="1031" xr:uid="{00000000-0005-0000-0000-0000FE000000}"/>
    <cellStyle name="40% - Accent1 7 2" xfId="1032" xr:uid="{00000000-0005-0000-0000-0000FF000000}"/>
    <cellStyle name="40% - Accent1 7 2 2" xfId="5494" xr:uid="{00000000-0005-0000-0000-000000010000}"/>
    <cellStyle name="40% - Accent2" xfId="4618" builtinId="35" customBuiltin="1"/>
    <cellStyle name="40% - Accent2 2" xfId="107" xr:uid="{00000000-0005-0000-0000-000002010000}"/>
    <cellStyle name="40% - Accent2 2 2" xfId="108" xr:uid="{00000000-0005-0000-0000-000003010000}"/>
    <cellStyle name="40% - Accent2 2 2 2" xfId="1033" xr:uid="{00000000-0005-0000-0000-000004010000}"/>
    <cellStyle name="40% - Accent2 2 2 2 2" xfId="1034" xr:uid="{00000000-0005-0000-0000-000005010000}"/>
    <cellStyle name="40% - Accent2 2 2 3" xfId="1035" xr:uid="{00000000-0005-0000-0000-000006010000}"/>
    <cellStyle name="40% - Accent2 2 2 3 2" xfId="1036" xr:uid="{00000000-0005-0000-0000-000007010000}"/>
    <cellStyle name="40% - Accent2 2 2 4" xfId="1037" xr:uid="{00000000-0005-0000-0000-000008010000}"/>
    <cellStyle name="40% - Accent2 2 2 5" xfId="1038" xr:uid="{00000000-0005-0000-0000-000009010000}"/>
    <cellStyle name="40% - Accent2 2 3" xfId="109" xr:uid="{00000000-0005-0000-0000-00000A010000}"/>
    <cellStyle name="40% - Accent2 2 4" xfId="1039" xr:uid="{00000000-0005-0000-0000-00000B010000}"/>
    <cellStyle name="40% - Accent2 2 5" xfId="1040" xr:uid="{00000000-0005-0000-0000-00000C010000}"/>
    <cellStyle name="40% - Accent2 2 6" xfId="1041" xr:uid="{00000000-0005-0000-0000-00000D010000}"/>
    <cellStyle name="40% - Accent2 2 6 2" xfId="3582" xr:uid="{00000000-0005-0000-0000-00000E010000}"/>
    <cellStyle name="40% - Accent2 2_QC Sheet" xfId="1042" xr:uid="{00000000-0005-0000-0000-00000F010000}"/>
    <cellStyle name="40% - Accent2 3" xfId="110" xr:uid="{00000000-0005-0000-0000-000010010000}"/>
    <cellStyle name="40% - Accent2 3 2" xfId="1043" xr:uid="{00000000-0005-0000-0000-000011010000}"/>
    <cellStyle name="40% - Accent2 4" xfId="111" xr:uid="{00000000-0005-0000-0000-000012010000}"/>
    <cellStyle name="40% - Accent2 4 2" xfId="1044" xr:uid="{00000000-0005-0000-0000-000013010000}"/>
    <cellStyle name="40% - Accent2 4 2 2" xfId="5066" xr:uid="{00000000-0005-0000-0000-000014010000}"/>
    <cellStyle name="40% - Accent2 4 3" xfId="3779" xr:uid="{00000000-0005-0000-0000-000015010000}"/>
    <cellStyle name="40% - Accent2 4 4" xfId="4645" xr:uid="{00000000-0005-0000-0000-000016010000}"/>
    <cellStyle name="40% - Accent2 5" xfId="1045" xr:uid="{00000000-0005-0000-0000-000017010000}"/>
    <cellStyle name="40% - Accent2 6" xfId="1046" xr:uid="{00000000-0005-0000-0000-000018010000}"/>
    <cellStyle name="40% - Accent2 7" xfId="1047" xr:uid="{00000000-0005-0000-0000-000019010000}"/>
    <cellStyle name="40% - Accent2 7 2" xfId="1048" xr:uid="{00000000-0005-0000-0000-00001A010000}"/>
    <cellStyle name="40% - Accent2 7 2 2" xfId="5496" xr:uid="{00000000-0005-0000-0000-00001B010000}"/>
    <cellStyle name="40% - Accent3" xfId="4622" builtinId="39" customBuiltin="1"/>
    <cellStyle name="40% - Accent3 2" xfId="112" xr:uid="{00000000-0005-0000-0000-00001D010000}"/>
    <cellStyle name="40% - Accent3 2 2" xfId="113" xr:uid="{00000000-0005-0000-0000-00001E010000}"/>
    <cellStyle name="40% - Accent3 2 2 2" xfId="1049" xr:uid="{00000000-0005-0000-0000-00001F010000}"/>
    <cellStyle name="40% - Accent3 2 2 2 2" xfId="1050" xr:uid="{00000000-0005-0000-0000-000020010000}"/>
    <cellStyle name="40% - Accent3 2 2 3" xfId="1051" xr:uid="{00000000-0005-0000-0000-000021010000}"/>
    <cellStyle name="40% - Accent3 2 2 3 2" xfId="1052" xr:uid="{00000000-0005-0000-0000-000022010000}"/>
    <cellStyle name="40% - Accent3 2 2 4" xfId="1053" xr:uid="{00000000-0005-0000-0000-000023010000}"/>
    <cellStyle name="40% - Accent3 2 2 5" xfId="1054" xr:uid="{00000000-0005-0000-0000-000024010000}"/>
    <cellStyle name="40% - Accent3 2 3" xfId="114" xr:uid="{00000000-0005-0000-0000-000025010000}"/>
    <cellStyle name="40% - Accent3 2 3 2" xfId="3583" xr:uid="{00000000-0005-0000-0000-000026010000}"/>
    <cellStyle name="40% - Accent3 2 4" xfId="1055" xr:uid="{00000000-0005-0000-0000-000027010000}"/>
    <cellStyle name="40% - Accent3 2 5" xfId="1056" xr:uid="{00000000-0005-0000-0000-000028010000}"/>
    <cellStyle name="40% - Accent3 2 6" xfId="1057" xr:uid="{00000000-0005-0000-0000-000029010000}"/>
    <cellStyle name="40% - Accent3 2 6 2" xfId="3584" xr:uid="{00000000-0005-0000-0000-00002A010000}"/>
    <cellStyle name="40% - Accent3 2 7" xfId="1058" xr:uid="{00000000-0005-0000-0000-00002B010000}"/>
    <cellStyle name="40% - Accent3 2_QC Sheet" xfId="1059" xr:uid="{00000000-0005-0000-0000-00002C010000}"/>
    <cellStyle name="40% - Accent3 3" xfId="115" xr:uid="{00000000-0005-0000-0000-00002D010000}"/>
    <cellStyle name="40% - Accent3 3 2" xfId="1060" xr:uid="{00000000-0005-0000-0000-00002E010000}"/>
    <cellStyle name="40% - Accent3 4" xfId="116" xr:uid="{00000000-0005-0000-0000-00002F010000}"/>
    <cellStyle name="40% - Accent3 4 2" xfId="1061" xr:uid="{00000000-0005-0000-0000-000030010000}"/>
    <cellStyle name="40% - Accent3 4 2 2" xfId="5097" xr:uid="{00000000-0005-0000-0000-000031010000}"/>
    <cellStyle name="40% - Accent3 4 3" xfId="3780" xr:uid="{00000000-0005-0000-0000-000032010000}"/>
    <cellStyle name="40% - Accent3 4 4" xfId="4646" xr:uid="{00000000-0005-0000-0000-000033010000}"/>
    <cellStyle name="40% - Accent3 5" xfId="1062" xr:uid="{00000000-0005-0000-0000-000034010000}"/>
    <cellStyle name="40% - Accent3 6" xfId="1063" xr:uid="{00000000-0005-0000-0000-000035010000}"/>
    <cellStyle name="40% - Accent3 7" xfId="1064" xr:uid="{00000000-0005-0000-0000-000036010000}"/>
    <cellStyle name="40% - Accent3 7 2" xfId="1065" xr:uid="{00000000-0005-0000-0000-000037010000}"/>
    <cellStyle name="40% - Accent3 7 2 2" xfId="5498" xr:uid="{00000000-0005-0000-0000-000038010000}"/>
    <cellStyle name="40% - Accent4" xfId="4626" builtinId="43" customBuiltin="1"/>
    <cellStyle name="40% - Accent4 2" xfId="117" xr:uid="{00000000-0005-0000-0000-00003A010000}"/>
    <cellStyle name="40% - Accent4 2 2" xfId="118" xr:uid="{00000000-0005-0000-0000-00003B010000}"/>
    <cellStyle name="40% - Accent4 2 2 2" xfId="1066" xr:uid="{00000000-0005-0000-0000-00003C010000}"/>
    <cellStyle name="40% - Accent4 2 2 2 2" xfId="1067" xr:uid="{00000000-0005-0000-0000-00003D010000}"/>
    <cellStyle name="40% - Accent4 2 2 3" xfId="1068" xr:uid="{00000000-0005-0000-0000-00003E010000}"/>
    <cellStyle name="40% - Accent4 2 2 3 2" xfId="1069" xr:uid="{00000000-0005-0000-0000-00003F010000}"/>
    <cellStyle name="40% - Accent4 2 2 4" xfId="1070" xr:uid="{00000000-0005-0000-0000-000040010000}"/>
    <cellStyle name="40% - Accent4 2 2 5" xfId="1071" xr:uid="{00000000-0005-0000-0000-000041010000}"/>
    <cellStyle name="40% - Accent4 2 3" xfId="119" xr:uid="{00000000-0005-0000-0000-000042010000}"/>
    <cellStyle name="40% - Accent4 2 3 2" xfId="3585" xr:uid="{00000000-0005-0000-0000-000043010000}"/>
    <cellStyle name="40% - Accent4 2 4" xfId="1072" xr:uid="{00000000-0005-0000-0000-000044010000}"/>
    <cellStyle name="40% - Accent4 2 5" xfId="1073" xr:uid="{00000000-0005-0000-0000-000045010000}"/>
    <cellStyle name="40% - Accent4 2 6" xfId="1074" xr:uid="{00000000-0005-0000-0000-000046010000}"/>
    <cellStyle name="40% - Accent4 2 6 2" xfId="3586" xr:uid="{00000000-0005-0000-0000-000047010000}"/>
    <cellStyle name="40% - Accent4 2 7" xfId="1075" xr:uid="{00000000-0005-0000-0000-000048010000}"/>
    <cellStyle name="40% - Accent4 2_QC Sheet" xfId="1076" xr:uid="{00000000-0005-0000-0000-000049010000}"/>
    <cellStyle name="40% - Accent4 3" xfId="120" xr:uid="{00000000-0005-0000-0000-00004A010000}"/>
    <cellStyle name="40% - Accent4 3 2" xfId="1077" xr:uid="{00000000-0005-0000-0000-00004B010000}"/>
    <cellStyle name="40% - Accent4 4" xfId="121" xr:uid="{00000000-0005-0000-0000-00004C010000}"/>
    <cellStyle name="40% - Accent4 4 2" xfId="1078" xr:uid="{00000000-0005-0000-0000-00004D010000}"/>
    <cellStyle name="40% - Accent4 4 2 2" xfId="5062" xr:uid="{00000000-0005-0000-0000-00004E010000}"/>
    <cellStyle name="40% - Accent4 4 3" xfId="3781" xr:uid="{00000000-0005-0000-0000-00004F010000}"/>
    <cellStyle name="40% - Accent4 4 4" xfId="4647" xr:uid="{00000000-0005-0000-0000-000050010000}"/>
    <cellStyle name="40% - Accent4 5" xfId="1079" xr:uid="{00000000-0005-0000-0000-000051010000}"/>
    <cellStyle name="40% - Accent4 6" xfId="1080" xr:uid="{00000000-0005-0000-0000-000052010000}"/>
    <cellStyle name="40% - Accent4 7" xfId="1081" xr:uid="{00000000-0005-0000-0000-000053010000}"/>
    <cellStyle name="40% - Accent4 7 2" xfId="1082" xr:uid="{00000000-0005-0000-0000-000054010000}"/>
    <cellStyle name="40% - Accent4 7 2 2" xfId="5500" xr:uid="{00000000-0005-0000-0000-000055010000}"/>
    <cellStyle name="40% - Accent5" xfId="4630" builtinId="47" customBuiltin="1"/>
    <cellStyle name="40% - Accent5 2" xfId="122" xr:uid="{00000000-0005-0000-0000-000057010000}"/>
    <cellStyle name="40% - Accent5 2 2" xfId="123" xr:uid="{00000000-0005-0000-0000-000058010000}"/>
    <cellStyle name="40% - Accent5 2 2 2" xfId="1083" xr:uid="{00000000-0005-0000-0000-000059010000}"/>
    <cellStyle name="40% - Accent5 2 2 2 2" xfId="1084" xr:uid="{00000000-0005-0000-0000-00005A010000}"/>
    <cellStyle name="40% - Accent5 2 2 3" xfId="1085" xr:uid="{00000000-0005-0000-0000-00005B010000}"/>
    <cellStyle name="40% - Accent5 2 2 3 2" xfId="1086" xr:uid="{00000000-0005-0000-0000-00005C010000}"/>
    <cellStyle name="40% - Accent5 2 2 4" xfId="1087" xr:uid="{00000000-0005-0000-0000-00005D010000}"/>
    <cellStyle name="40% - Accent5 2 2 5" xfId="1088" xr:uid="{00000000-0005-0000-0000-00005E010000}"/>
    <cellStyle name="40% - Accent5 2 3" xfId="124" xr:uid="{00000000-0005-0000-0000-00005F010000}"/>
    <cellStyle name="40% - Accent5 2 4" xfId="1089" xr:uid="{00000000-0005-0000-0000-000060010000}"/>
    <cellStyle name="40% - Accent5 2 5" xfId="1090" xr:uid="{00000000-0005-0000-0000-000061010000}"/>
    <cellStyle name="40% - Accent5 2 6" xfId="1091" xr:uid="{00000000-0005-0000-0000-000062010000}"/>
    <cellStyle name="40% - Accent5 2 6 2" xfId="3587" xr:uid="{00000000-0005-0000-0000-000063010000}"/>
    <cellStyle name="40% - Accent5 2_QC Sheet" xfId="1092" xr:uid="{00000000-0005-0000-0000-000064010000}"/>
    <cellStyle name="40% - Accent5 3" xfId="125" xr:uid="{00000000-0005-0000-0000-000065010000}"/>
    <cellStyle name="40% - Accent5 3 2" xfId="1093" xr:uid="{00000000-0005-0000-0000-000066010000}"/>
    <cellStyle name="40% - Accent5 4" xfId="126" xr:uid="{00000000-0005-0000-0000-000067010000}"/>
    <cellStyle name="40% - Accent5 4 2" xfId="1094" xr:uid="{00000000-0005-0000-0000-000068010000}"/>
    <cellStyle name="40% - Accent5 4 2 2" xfId="5080" xr:uid="{00000000-0005-0000-0000-000069010000}"/>
    <cellStyle name="40% - Accent5 4 3" xfId="3782" xr:uid="{00000000-0005-0000-0000-00006A010000}"/>
    <cellStyle name="40% - Accent5 4 4" xfId="4648" xr:uid="{00000000-0005-0000-0000-00006B010000}"/>
    <cellStyle name="40% - Accent5 5" xfId="1095" xr:uid="{00000000-0005-0000-0000-00006C010000}"/>
    <cellStyle name="40% - Accent5 6" xfId="1096" xr:uid="{00000000-0005-0000-0000-00006D010000}"/>
    <cellStyle name="40% - Accent5 7" xfId="1097" xr:uid="{00000000-0005-0000-0000-00006E010000}"/>
    <cellStyle name="40% - Accent5 7 2" xfId="1098" xr:uid="{00000000-0005-0000-0000-00006F010000}"/>
    <cellStyle name="40% - Accent5 7 2 2" xfId="5502" xr:uid="{00000000-0005-0000-0000-000070010000}"/>
    <cellStyle name="40% - Accent6" xfId="4634" builtinId="51" customBuiltin="1"/>
    <cellStyle name="40% - Accent6 2" xfId="127" xr:uid="{00000000-0005-0000-0000-000072010000}"/>
    <cellStyle name="40% - Accent6 2 2" xfId="128" xr:uid="{00000000-0005-0000-0000-000073010000}"/>
    <cellStyle name="40% - Accent6 2 2 2" xfId="1099" xr:uid="{00000000-0005-0000-0000-000074010000}"/>
    <cellStyle name="40% - Accent6 2 2 2 2" xfId="1100" xr:uid="{00000000-0005-0000-0000-000075010000}"/>
    <cellStyle name="40% - Accent6 2 2 3" xfId="1101" xr:uid="{00000000-0005-0000-0000-000076010000}"/>
    <cellStyle name="40% - Accent6 2 2 3 2" xfId="1102" xr:uid="{00000000-0005-0000-0000-000077010000}"/>
    <cellStyle name="40% - Accent6 2 2 4" xfId="1103" xr:uid="{00000000-0005-0000-0000-000078010000}"/>
    <cellStyle name="40% - Accent6 2 2 5" xfId="1104" xr:uid="{00000000-0005-0000-0000-000079010000}"/>
    <cellStyle name="40% - Accent6 2 3" xfId="129" xr:uid="{00000000-0005-0000-0000-00007A010000}"/>
    <cellStyle name="40% - Accent6 2 3 2" xfId="3588" xr:uid="{00000000-0005-0000-0000-00007B010000}"/>
    <cellStyle name="40% - Accent6 2 4" xfId="1105" xr:uid="{00000000-0005-0000-0000-00007C010000}"/>
    <cellStyle name="40% - Accent6 2 5" xfId="1106" xr:uid="{00000000-0005-0000-0000-00007D010000}"/>
    <cellStyle name="40% - Accent6 2 6" xfId="1107" xr:uid="{00000000-0005-0000-0000-00007E010000}"/>
    <cellStyle name="40% - Accent6 2 6 2" xfId="3589" xr:uid="{00000000-0005-0000-0000-00007F010000}"/>
    <cellStyle name="40% - Accent6 2 7" xfId="1108" xr:uid="{00000000-0005-0000-0000-000080010000}"/>
    <cellStyle name="40% - Accent6 2_QC Sheet" xfId="1109" xr:uid="{00000000-0005-0000-0000-000081010000}"/>
    <cellStyle name="40% - Accent6 3" xfId="130" xr:uid="{00000000-0005-0000-0000-000082010000}"/>
    <cellStyle name="40% - Accent6 3 2" xfId="1110" xr:uid="{00000000-0005-0000-0000-000083010000}"/>
    <cellStyle name="40% - Accent6 4" xfId="131" xr:uid="{00000000-0005-0000-0000-000084010000}"/>
    <cellStyle name="40% - Accent6 4 2" xfId="1111" xr:uid="{00000000-0005-0000-0000-000085010000}"/>
    <cellStyle name="40% - Accent6 4 2 2" xfId="5084" xr:uid="{00000000-0005-0000-0000-000086010000}"/>
    <cellStyle name="40% - Accent6 4 3" xfId="3783" xr:uid="{00000000-0005-0000-0000-000087010000}"/>
    <cellStyle name="40% - Accent6 4 4" xfId="4649" xr:uid="{00000000-0005-0000-0000-000088010000}"/>
    <cellStyle name="40% - Accent6 5" xfId="1112" xr:uid="{00000000-0005-0000-0000-000089010000}"/>
    <cellStyle name="40% - Accent6 6" xfId="1113" xr:uid="{00000000-0005-0000-0000-00008A010000}"/>
    <cellStyle name="40% - Accent6 7" xfId="1114" xr:uid="{00000000-0005-0000-0000-00008B010000}"/>
    <cellStyle name="40% - Accent6 7 2" xfId="1115" xr:uid="{00000000-0005-0000-0000-00008C010000}"/>
    <cellStyle name="40% - Accent6 7 2 2" xfId="5504" xr:uid="{00000000-0005-0000-0000-00008D010000}"/>
    <cellStyle name="60% - Accent1" xfId="4616" builtinId="32" customBuiltin="1"/>
    <cellStyle name="60% - Accent1 2" xfId="132" xr:uid="{00000000-0005-0000-0000-00008F010000}"/>
    <cellStyle name="60% - Accent1 2 2" xfId="133" xr:uid="{00000000-0005-0000-0000-000090010000}"/>
    <cellStyle name="60% - Accent1 2 2 2" xfId="1116" xr:uid="{00000000-0005-0000-0000-000091010000}"/>
    <cellStyle name="60% - Accent1 2 2 2 2" xfId="1117" xr:uid="{00000000-0005-0000-0000-000092010000}"/>
    <cellStyle name="60% - Accent1 2 2 3" xfId="1118" xr:uid="{00000000-0005-0000-0000-000093010000}"/>
    <cellStyle name="60% - Accent1 2 2 3 2" xfId="1119" xr:uid="{00000000-0005-0000-0000-000094010000}"/>
    <cellStyle name="60% - Accent1 2 2 4" xfId="1120" xr:uid="{00000000-0005-0000-0000-000095010000}"/>
    <cellStyle name="60% - Accent1 2 2 5" xfId="1121" xr:uid="{00000000-0005-0000-0000-000096010000}"/>
    <cellStyle name="60% - Accent1 2 3" xfId="134" xr:uid="{00000000-0005-0000-0000-000097010000}"/>
    <cellStyle name="60% - Accent1 2 3 2" xfId="3590" xr:uid="{00000000-0005-0000-0000-000098010000}"/>
    <cellStyle name="60% - Accent1 2 4" xfId="1122" xr:uid="{00000000-0005-0000-0000-000099010000}"/>
    <cellStyle name="60% - Accent1 2 5" xfId="1123" xr:uid="{00000000-0005-0000-0000-00009A010000}"/>
    <cellStyle name="60% - Accent1 2 5 2" xfId="3591" xr:uid="{00000000-0005-0000-0000-00009B010000}"/>
    <cellStyle name="60% - Accent1 2 6" xfId="1124" xr:uid="{00000000-0005-0000-0000-00009C010000}"/>
    <cellStyle name="60% - Accent1 2_QC Sheet" xfId="1125" xr:uid="{00000000-0005-0000-0000-00009D010000}"/>
    <cellStyle name="60% - Accent1 3" xfId="135" xr:uid="{00000000-0005-0000-0000-00009E010000}"/>
    <cellStyle name="60% - Accent1 3 2" xfId="1126" xr:uid="{00000000-0005-0000-0000-00009F010000}"/>
    <cellStyle name="60% - Accent1 4" xfId="136" xr:uid="{00000000-0005-0000-0000-0000A0010000}"/>
    <cellStyle name="60% - Accent1 4 2" xfId="1127" xr:uid="{00000000-0005-0000-0000-0000A1010000}"/>
    <cellStyle name="60% - Accent1 4 3" xfId="4650" xr:uid="{00000000-0005-0000-0000-0000A2010000}"/>
    <cellStyle name="60% - Accent1 5" xfId="1128" xr:uid="{00000000-0005-0000-0000-0000A3010000}"/>
    <cellStyle name="60% - Accent1 6" xfId="1129" xr:uid="{00000000-0005-0000-0000-0000A4010000}"/>
    <cellStyle name="60% - Accent1 7" xfId="1130" xr:uid="{00000000-0005-0000-0000-0000A5010000}"/>
    <cellStyle name="60% - Accent1 7 2" xfId="1131" xr:uid="{00000000-0005-0000-0000-0000A6010000}"/>
    <cellStyle name="60% - Accent2" xfId="4619" builtinId="36" customBuiltin="1"/>
    <cellStyle name="60% - Accent2 2" xfId="137" xr:uid="{00000000-0005-0000-0000-0000A8010000}"/>
    <cellStyle name="60% - Accent2 2 2" xfId="138" xr:uid="{00000000-0005-0000-0000-0000A9010000}"/>
    <cellStyle name="60% - Accent2 2 2 2" xfId="1132" xr:uid="{00000000-0005-0000-0000-0000AA010000}"/>
    <cellStyle name="60% - Accent2 2 2 2 2" xfId="1133" xr:uid="{00000000-0005-0000-0000-0000AB010000}"/>
    <cellStyle name="60% - Accent2 2 2 3" xfId="1134" xr:uid="{00000000-0005-0000-0000-0000AC010000}"/>
    <cellStyle name="60% - Accent2 2 2 3 2" xfId="1135" xr:uid="{00000000-0005-0000-0000-0000AD010000}"/>
    <cellStyle name="60% - Accent2 2 2 4" xfId="1136" xr:uid="{00000000-0005-0000-0000-0000AE010000}"/>
    <cellStyle name="60% - Accent2 2 2 5" xfId="1137" xr:uid="{00000000-0005-0000-0000-0000AF010000}"/>
    <cellStyle name="60% - Accent2 2 3" xfId="139" xr:uid="{00000000-0005-0000-0000-0000B0010000}"/>
    <cellStyle name="60% - Accent2 2 3 2" xfId="3592" xr:uid="{00000000-0005-0000-0000-0000B1010000}"/>
    <cellStyle name="60% - Accent2 2 4" xfId="1138" xr:uid="{00000000-0005-0000-0000-0000B2010000}"/>
    <cellStyle name="60% - Accent2 2 5" xfId="1139" xr:uid="{00000000-0005-0000-0000-0000B3010000}"/>
    <cellStyle name="60% - Accent2 2 5 2" xfId="3593" xr:uid="{00000000-0005-0000-0000-0000B4010000}"/>
    <cellStyle name="60% - Accent2 2_QC Sheet" xfId="1140" xr:uid="{00000000-0005-0000-0000-0000B5010000}"/>
    <cellStyle name="60% - Accent2 3" xfId="140" xr:uid="{00000000-0005-0000-0000-0000B6010000}"/>
    <cellStyle name="60% - Accent2 3 2" xfId="1141" xr:uid="{00000000-0005-0000-0000-0000B7010000}"/>
    <cellStyle name="60% - Accent2 4" xfId="141" xr:uid="{00000000-0005-0000-0000-0000B8010000}"/>
    <cellStyle name="60% - Accent2 4 2" xfId="1142" xr:uid="{00000000-0005-0000-0000-0000B9010000}"/>
    <cellStyle name="60% - Accent2 4 3" xfId="4651" xr:uid="{00000000-0005-0000-0000-0000BA010000}"/>
    <cellStyle name="60% - Accent2 5" xfId="1143" xr:uid="{00000000-0005-0000-0000-0000BB010000}"/>
    <cellStyle name="60% - Accent2 6" xfId="1144" xr:uid="{00000000-0005-0000-0000-0000BC010000}"/>
    <cellStyle name="60% - Accent2 7" xfId="1145" xr:uid="{00000000-0005-0000-0000-0000BD010000}"/>
    <cellStyle name="60% - Accent2 7 2" xfId="1146" xr:uid="{00000000-0005-0000-0000-0000BE010000}"/>
    <cellStyle name="60% - Accent3" xfId="4623" builtinId="40" customBuiltin="1"/>
    <cellStyle name="60% - Accent3 2" xfId="142" xr:uid="{00000000-0005-0000-0000-0000C0010000}"/>
    <cellStyle name="60% - Accent3 2 2" xfId="143" xr:uid="{00000000-0005-0000-0000-0000C1010000}"/>
    <cellStyle name="60% - Accent3 2 2 2" xfId="1147" xr:uid="{00000000-0005-0000-0000-0000C2010000}"/>
    <cellStyle name="60% - Accent3 2 2 2 2" xfId="1148" xr:uid="{00000000-0005-0000-0000-0000C3010000}"/>
    <cellStyle name="60% - Accent3 2 2 3" xfId="1149" xr:uid="{00000000-0005-0000-0000-0000C4010000}"/>
    <cellStyle name="60% - Accent3 2 2 3 2" xfId="1150" xr:uid="{00000000-0005-0000-0000-0000C5010000}"/>
    <cellStyle name="60% - Accent3 2 2 4" xfId="1151" xr:uid="{00000000-0005-0000-0000-0000C6010000}"/>
    <cellStyle name="60% - Accent3 2 2 5" xfId="1152" xr:uid="{00000000-0005-0000-0000-0000C7010000}"/>
    <cellStyle name="60% - Accent3 2 3" xfId="144" xr:uid="{00000000-0005-0000-0000-0000C8010000}"/>
    <cellStyle name="60% - Accent3 2 3 2" xfId="3594" xr:uid="{00000000-0005-0000-0000-0000C9010000}"/>
    <cellStyle name="60% - Accent3 2 4" xfId="1153" xr:uid="{00000000-0005-0000-0000-0000CA010000}"/>
    <cellStyle name="60% - Accent3 2 5" xfId="1154" xr:uid="{00000000-0005-0000-0000-0000CB010000}"/>
    <cellStyle name="60% - Accent3 2 5 2" xfId="3595" xr:uid="{00000000-0005-0000-0000-0000CC010000}"/>
    <cellStyle name="60% - Accent3 2 6" xfId="1155" xr:uid="{00000000-0005-0000-0000-0000CD010000}"/>
    <cellStyle name="60% - Accent3 2_QC Sheet" xfId="1156" xr:uid="{00000000-0005-0000-0000-0000CE010000}"/>
    <cellStyle name="60% - Accent3 3" xfId="145" xr:uid="{00000000-0005-0000-0000-0000CF010000}"/>
    <cellStyle name="60% - Accent3 3 2" xfId="1157" xr:uid="{00000000-0005-0000-0000-0000D0010000}"/>
    <cellStyle name="60% - Accent3 4" xfId="146" xr:uid="{00000000-0005-0000-0000-0000D1010000}"/>
    <cellStyle name="60% - Accent3 4 2" xfId="1158" xr:uid="{00000000-0005-0000-0000-0000D2010000}"/>
    <cellStyle name="60% - Accent3 4 3" xfId="4652" xr:uid="{00000000-0005-0000-0000-0000D3010000}"/>
    <cellStyle name="60% - Accent3 5" xfId="1159" xr:uid="{00000000-0005-0000-0000-0000D4010000}"/>
    <cellStyle name="60% - Accent3 6" xfId="1160" xr:uid="{00000000-0005-0000-0000-0000D5010000}"/>
    <cellStyle name="60% - Accent3 7" xfId="1161" xr:uid="{00000000-0005-0000-0000-0000D6010000}"/>
    <cellStyle name="60% - Accent3 7 2" xfId="1162" xr:uid="{00000000-0005-0000-0000-0000D7010000}"/>
    <cellStyle name="60% - Accent4" xfId="4627" builtinId="44" customBuiltin="1"/>
    <cellStyle name="60% - Accent4 2" xfId="147" xr:uid="{00000000-0005-0000-0000-0000D9010000}"/>
    <cellStyle name="60% - Accent4 2 2" xfId="148" xr:uid="{00000000-0005-0000-0000-0000DA010000}"/>
    <cellStyle name="60% - Accent4 2 2 2" xfId="1163" xr:uid="{00000000-0005-0000-0000-0000DB010000}"/>
    <cellStyle name="60% - Accent4 2 2 2 2" xfId="1164" xr:uid="{00000000-0005-0000-0000-0000DC010000}"/>
    <cellStyle name="60% - Accent4 2 2 3" xfId="1165" xr:uid="{00000000-0005-0000-0000-0000DD010000}"/>
    <cellStyle name="60% - Accent4 2 2 3 2" xfId="1166" xr:uid="{00000000-0005-0000-0000-0000DE010000}"/>
    <cellStyle name="60% - Accent4 2 2 4" xfId="1167" xr:uid="{00000000-0005-0000-0000-0000DF010000}"/>
    <cellStyle name="60% - Accent4 2 2 5" xfId="1168" xr:uid="{00000000-0005-0000-0000-0000E0010000}"/>
    <cellStyle name="60% - Accent4 2 3" xfId="149" xr:uid="{00000000-0005-0000-0000-0000E1010000}"/>
    <cellStyle name="60% - Accent4 2 3 2" xfId="3596" xr:uid="{00000000-0005-0000-0000-0000E2010000}"/>
    <cellStyle name="60% - Accent4 2 4" xfId="1169" xr:uid="{00000000-0005-0000-0000-0000E3010000}"/>
    <cellStyle name="60% - Accent4 2 5" xfId="1170" xr:uid="{00000000-0005-0000-0000-0000E4010000}"/>
    <cellStyle name="60% - Accent4 2 5 2" xfId="3597" xr:uid="{00000000-0005-0000-0000-0000E5010000}"/>
    <cellStyle name="60% - Accent4 2 6" xfId="1171" xr:uid="{00000000-0005-0000-0000-0000E6010000}"/>
    <cellStyle name="60% - Accent4 2_QC Sheet" xfId="1172" xr:uid="{00000000-0005-0000-0000-0000E7010000}"/>
    <cellStyle name="60% - Accent4 3" xfId="150" xr:uid="{00000000-0005-0000-0000-0000E8010000}"/>
    <cellStyle name="60% - Accent4 3 2" xfId="1173" xr:uid="{00000000-0005-0000-0000-0000E9010000}"/>
    <cellStyle name="60% - Accent4 4" xfId="151" xr:uid="{00000000-0005-0000-0000-0000EA010000}"/>
    <cellStyle name="60% - Accent4 4 2" xfId="1174" xr:uid="{00000000-0005-0000-0000-0000EB010000}"/>
    <cellStyle name="60% - Accent4 4 3" xfId="4653" xr:uid="{00000000-0005-0000-0000-0000EC010000}"/>
    <cellStyle name="60% - Accent4 5" xfId="1175" xr:uid="{00000000-0005-0000-0000-0000ED010000}"/>
    <cellStyle name="60% - Accent4 6" xfId="1176" xr:uid="{00000000-0005-0000-0000-0000EE010000}"/>
    <cellStyle name="60% - Accent4 7" xfId="1177" xr:uid="{00000000-0005-0000-0000-0000EF010000}"/>
    <cellStyle name="60% - Accent4 7 2" xfId="1178" xr:uid="{00000000-0005-0000-0000-0000F0010000}"/>
    <cellStyle name="60% - Accent5" xfId="4631" builtinId="48" customBuiltin="1"/>
    <cellStyle name="60% - Accent5 2" xfId="152" xr:uid="{00000000-0005-0000-0000-0000F2010000}"/>
    <cellStyle name="60% - Accent5 2 2" xfId="153" xr:uid="{00000000-0005-0000-0000-0000F3010000}"/>
    <cellStyle name="60% - Accent5 2 2 2" xfId="1179" xr:uid="{00000000-0005-0000-0000-0000F4010000}"/>
    <cellStyle name="60% - Accent5 2 2 2 2" xfId="1180" xr:uid="{00000000-0005-0000-0000-0000F5010000}"/>
    <cellStyle name="60% - Accent5 2 2 3" xfId="1181" xr:uid="{00000000-0005-0000-0000-0000F6010000}"/>
    <cellStyle name="60% - Accent5 2 2 3 2" xfId="1182" xr:uid="{00000000-0005-0000-0000-0000F7010000}"/>
    <cellStyle name="60% - Accent5 2 2 4" xfId="1183" xr:uid="{00000000-0005-0000-0000-0000F8010000}"/>
    <cellStyle name="60% - Accent5 2 2 5" xfId="1184" xr:uid="{00000000-0005-0000-0000-0000F9010000}"/>
    <cellStyle name="60% - Accent5 2 3" xfId="154" xr:uid="{00000000-0005-0000-0000-0000FA010000}"/>
    <cellStyle name="60% - Accent5 2 3 2" xfId="3598" xr:uid="{00000000-0005-0000-0000-0000FB010000}"/>
    <cellStyle name="60% - Accent5 2 4" xfId="1185" xr:uid="{00000000-0005-0000-0000-0000FC010000}"/>
    <cellStyle name="60% - Accent5 2 5" xfId="1186" xr:uid="{00000000-0005-0000-0000-0000FD010000}"/>
    <cellStyle name="60% - Accent5 2 5 2" xfId="3599" xr:uid="{00000000-0005-0000-0000-0000FE010000}"/>
    <cellStyle name="60% - Accent5 2_QC Sheet" xfId="1187" xr:uid="{00000000-0005-0000-0000-0000FF010000}"/>
    <cellStyle name="60% - Accent5 3" xfId="155" xr:uid="{00000000-0005-0000-0000-000000020000}"/>
    <cellStyle name="60% - Accent5 3 2" xfId="1188" xr:uid="{00000000-0005-0000-0000-000001020000}"/>
    <cellStyle name="60% - Accent5 4" xfId="156" xr:uid="{00000000-0005-0000-0000-000002020000}"/>
    <cellStyle name="60% - Accent5 4 2" xfId="1189" xr:uid="{00000000-0005-0000-0000-000003020000}"/>
    <cellStyle name="60% - Accent5 4 3" xfId="4654" xr:uid="{00000000-0005-0000-0000-000004020000}"/>
    <cellStyle name="60% - Accent5 5" xfId="1190" xr:uid="{00000000-0005-0000-0000-000005020000}"/>
    <cellStyle name="60% - Accent5 6" xfId="1191" xr:uid="{00000000-0005-0000-0000-000006020000}"/>
    <cellStyle name="60% - Accent5 7" xfId="1192" xr:uid="{00000000-0005-0000-0000-000007020000}"/>
    <cellStyle name="60% - Accent5 7 2" xfId="1193" xr:uid="{00000000-0005-0000-0000-000008020000}"/>
    <cellStyle name="60% - Accent6" xfId="4635" builtinId="52" customBuiltin="1"/>
    <cellStyle name="60% - Accent6 2" xfId="157" xr:uid="{00000000-0005-0000-0000-00000A020000}"/>
    <cellStyle name="60% - Accent6 2 2" xfId="158" xr:uid="{00000000-0005-0000-0000-00000B020000}"/>
    <cellStyle name="60% - Accent6 2 2 2" xfId="1194" xr:uid="{00000000-0005-0000-0000-00000C020000}"/>
    <cellStyle name="60% - Accent6 2 2 2 2" xfId="1195" xr:uid="{00000000-0005-0000-0000-00000D020000}"/>
    <cellStyle name="60% - Accent6 2 2 3" xfId="1196" xr:uid="{00000000-0005-0000-0000-00000E020000}"/>
    <cellStyle name="60% - Accent6 2 2 3 2" xfId="1197" xr:uid="{00000000-0005-0000-0000-00000F020000}"/>
    <cellStyle name="60% - Accent6 2 2 4" xfId="1198" xr:uid="{00000000-0005-0000-0000-000010020000}"/>
    <cellStyle name="60% - Accent6 2 2 5" xfId="1199" xr:uid="{00000000-0005-0000-0000-000011020000}"/>
    <cellStyle name="60% - Accent6 2 3" xfId="159" xr:uid="{00000000-0005-0000-0000-000012020000}"/>
    <cellStyle name="60% - Accent6 2 3 2" xfId="3600" xr:uid="{00000000-0005-0000-0000-000013020000}"/>
    <cellStyle name="60% - Accent6 2 4" xfId="1200" xr:uid="{00000000-0005-0000-0000-000014020000}"/>
    <cellStyle name="60% - Accent6 2 5" xfId="1201" xr:uid="{00000000-0005-0000-0000-000015020000}"/>
    <cellStyle name="60% - Accent6 2 5 2" xfId="3601" xr:uid="{00000000-0005-0000-0000-000016020000}"/>
    <cellStyle name="60% - Accent6 2 6" xfId="1202" xr:uid="{00000000-0005-0000-0000-000017020000}"/>
    <cellStyle name="60% - Accent6 2_QC Sheet" xfId="1203" xr:uid="{00000000-0005-0000-0000-000018020000}"/>
    <cellStyle name="60% - Accent6 3" xfId="160" xr:uid="{00000000-0005-0000-0000-000019020000}"/>
    <cellStyle name="60% - Accent6 3 2" xfId="1204" xr:uid="{00000000-0005-0000-0000-00001A020000}"/>
    <cellStyle name="60% - Accent6 4" xfId="161" xr:uid="{00000000-0005-0000-0000-00001B020000}"/>
    <cellStyle name="60% - Accent6 4 2" xfId="1205" xr:uid="{00000000-0005-0000-0000-00001C020000}"/>
    <cellStyle name="60% - Accent6 4 3" xfId="4655" xr:uid="{00000000-0005-0000-0000-00001D020000}"/>
    <cellStyle name="60% - Accent6 5" xfId="1206" xr:uid="{00000000-0005-0000-0000-00001E020000}"/>
    <cellStyle name="60% - Accent6 6" xfId="1207" xr:uid="{00000000-0005-0000-0000-00001F020000}"/>
    <cellStyle name="60% - Accent6 7" xfId="1208" xr:uid="{00000000-0005-0000-0000-000020020000}"/>
    <cellStyle name="60% - Accent6 7 2" xfId="1209" xr:uid="{00000000-0005-0000-0000-000021020000}"/>
    <cellStyle name="Accent1" xfId="4613" builtinId="29" customBuiltin="1"/>
    <cellStyle name="Accent1 2" xfId="162" xr:uid="{00000000-0005-0000-0000-000023020000}"/>
    <cellStyle name="Accent1 2 2" xfId="163" xr:uid="{00000000-0005-0000-0000-000024020000}"/>
    <cellStyle name="Accent1 2 2 2" xfId="1210" xr:uid="{00000000-0005-0000-0000-000025020000}"/>
    <cellStyle name="Accent1 2 2 2 2" xfId="1211" xr:uid="{00000000-0005-0000-0000-000026020000}"/>
    <cellStyle name="Accent1 2 2 3" xfId="1212" xr:uid="{00000000-0005-0000-0000-000027020000}"/>
    <cellStyle name="Accent1 2 2 3 2" xfId="1213" xr:uid="{00000000-0005-0000-0000-000028020000}"/>
    <cellStyle name="Accent1 2 2 4" xfId="1214" xr:uid="{00000000-0005-0000-0000-000029020000}"/>
    <cellStyle name="Accent1 2 2 5" xfId="1215" xr:uid="{00000000-0005-0000-0000-00002A020000}"/>
    <cellStyle name="Accent1 2 3" xfId="164" xr:uid="{00000000-0005-0000-0000-00002B020000}"/>
    <cellStyle name="Accent1 2 3 2" xfId="3602" xr:uid="{00000000-0005-0000-0000-00002C020000}"/>
    <cellStyle name="Accent1 2 4" xfId="165" xr:uid="{00000000-0005-0000-0000-00002D020000}"/>
    <cellStyle name="Accent1 2 4 2" xfId="3603" xr:uid="{00000000-0005-0000-0000-00002E020000}"/>
    <cellStyle name="Accent1 2 5" xfId="1216" xr:uid="{00000000-0005-0000-0000-00002F020000}"/>
    <cellStyle name="Accent1 2 5 2" xfId="3604" xr:uid="{00000000-0005-0000-0000-000030020000}"/>
    <cellStyle name="Accent1 2 6" xfId="1217" xr:uid="{00000000-0005-0000-0000-000031020000}"/>
    <cellStyle name="Accent1 2_QC Sheet" xfId="1218" xr:uid="{00000000-0005-0000-0000-000032020000}"/>
    <cellStyle name="Accent1 3" xfId="166" xr:uid="{00000000-0005-0000-0000-000033020000}"/>
    <cellStyle name="Accent1 3 2" xfId="1219" xr:uid="{00000000-0005-0000-0000-000034020000}"/>
    <cellStyle name="Accent1 4" xfId="167" xr:uid="{00000000-0005-0000-0000-000035020000}"/>
    <cellStyle name="Accent1 4 2" xfId="1220" xr:uid="{00000000-0005-0000-0000-000036020000}"/>
    <cellStyle name="Accent1 4 3" xfId="4656" xr:uid="{00000000-0005-0000-0000-000037020000}"/>
    <cellStyle name="Accent1 5" xfId="1221" xr:uid="{00000000-0005-0000-0000-000038020000}"/>
    <cellStyle name="Accent1 6" xfId="1222" xr:uid="{00000000-0005-0000-0000-000039020000}"/>
    <cellStyle name="Accent1 7" xfId="1223" xr:uid="{00000000-0005-0000-0000-00003A020000}"/>
    <cellStyle name="Accent1 7 2" xfId="1224" xr:uid="{00000000-0005-0000-0000-00003B020000}"/>
    <cellStyle name="Accent2" xfId="388" builtinId="33" customBuiltin="1"/>
    <cellStyle name="Accent2 2" xfId="168" xr:uid="{00000000-0005-0000-0000-00003D020000}"/>
    <cellStyle name="Accent2 2 2" xfId="169" xr:uid="{00000000-0005-0000-0000-00003E020000}"/>
    <cellStyle name="Accent2 2 2 2" xfId="1225" xr:uid="{00000000-0005-0000-0000-00003F020000}"/>
    <cellStyle name="Accent2 2 2 2 2" xfId="1226" xr:uid="{00000000-0005-0000-0000-000040020000}"/>
    <cellStyle name="Accent2 2 2 3" xfId="1227" xr:uid="{00000000-0005-0000-0000-000041020000}"/>
    <cellStyle name="Accent2 2 2 3 2" xfId="1228" xr:uid="{00000000-0005-0000-0000-000042020000}"/>
    <cellStyle name="Accent2 2 2 4" xfId="1229" xr:uid="{00000000-0005-0000-0000-000043020000}"/>
    <cellStyle name="Accent2 2 2 5" xfId="1230" xr:uid="{00000000-0005-0000-0000-000044020000}"/>
    <cellStyle name="Accent2 2 3" xfId="170" xr:uid="{00000000-0005-0000-0000-000045020000}"/>
    <cellStyle name="Accent2 2 3 2" xfId="3605" xr:uid="{00000000-0005-0000-0000-000046020000}"/>
    <cellStyle name="Accent2 2 4" xfId="1231" xr:uid="{00000000-0005-0000-0000-000047020000}"/>
    <cellStyle name="Accent2 2 5" xfId="1232" xr:uid="{00000000-0005-0000-0000-000048020000}"/>
    <cellStyle name="Accent2 2 5 2" xfId="3606" xr:uid="{00000000-0005-0000-0000-000049020000}"/>
    <cellStyle name="Accent2 2_QC Sheet" xfId="1233" xr:uid="{00000000-0005-0000-0000-00004A020000}"/>
    <cellStyle name="Accent2 3" xfId="171" xr:uid="{00000000-0005-0000-0000-00004B020000}"/>
    <cellStyle name="Accent2 3 2" xfId="1234" xr:uid="{00000000-0005-0000-0000-00004C020000}"/>
    <cellStyle name="Accent2 4" xfId="172" xr:uid="{00000000-0005-0000-0000-00004D020000}"/>
    <cellStyle name="Accent2 4 2" xfId="1235" xr:uid="{00000000-0005-0000-0000-00004E020000}"/>
    <cellStyle name="Accent2 4 3" xfId="4657" xr:uid="{00000000-0005-0000-0000-00004F020000}"/>
    <cellStyle name="Accent2 5" xfId="1236" xr:uid="{00000000-0005-0000-0000-000050020000}"/>
    <cellStyle name="Accent2 6" xfId="1237" xr:uid="{00000000-0005-0000-0000-000051020000}"/>
    <cellStyle name="Accent2 7" xfId="1238" xr:uid="{00000000-0005-0000-0000-000052020000}"/>
    <cellStyle name="Accent2 7 2" xfId="1239" xr:uid="{00000000-0005-0000-0000-000053020000}"/>
    <cellStyle name="Accent3" xfId="4620" builtinId="37" customBuiltin="1"/>
    <cellStyle name="Accent3 2" xfId="173" xr:uid="{00000000-0005-0000-0000-000055020000}"/>
    <cellStyle name="Accent3 2 2" xfId="174" xr:uid="{00000000-0005-0000-0000-000056020000}"/>
    <cellStyle name="Accent3 2 2 2" xfId="1240" xr:uid="{00000000-0005-0000-0000-000057020000}"/>
    <cellStyle name="Accent3 2 2 2 2" xfId="1241" xr:uid="{00000000-0005-0000-0000-000058020000}"/>
    <cellStyle name="Accent3 2 2 3" xfId="1242" xr:uid="{00000000-0005-0000-0000-000059020000}"/>
    <cellStyle name="Accent3 2 2 3 2" xfId="1243" xr:uid="{00000000-0005-0000-0000-00005A020000}"/>
    <cellStyle name="Accent3 2 2 4" xfId="1244" xr:uid="{00000000-0005-0000-0000-00005B020000}"/>
    <cellStyle name="Accent3 2 2 5" xfId="1245" xr:uid="{00000000-0005-0000-0000-00005C020000}"/>
    <cellStyle name="Accent3 2 3" xfId="175" xr:uid="{00000000-0005-0000-0000-00005D020000}"/>
    <cellStyle name="Accent3 2 3 2" xfId="3607" xr:uid="{00000000-0005-0000-0000-00005E020000}"/>
    <cellStyle name="Accent3 2 4" xfId="176" xr:uid="{00000000-0005-0000-0000-00005F020000}"/>
    <cellStyle name="Accent3 2 4 2" xfId="3608" xr:uid="{00000000-0005-0000-0000-000060020000}"/>
    <cellStyle name="Accent3 2 5" xfId="1246" xr:uid="{00000000-0005-0000-0000-000061020000}"/>
    <cellStyle name="Accent3 2 5 2" xfId="3609" xr:uid="{00000000-0005-0000-0000-000062020000}"/>
    <cellStyle name="Accent3 2_QC Sheet" xfId="1247" xr:uid="{00000000-0005-0000-0000-000063020000}"/>
    <cellStyle name="Accent3 3" xfId="177" xr:uid="{00000000-0005-0000-0000-000064020000}"/>
    <cellStyle name="Accent3 3 2" xfId="1248" xr:uid="{00000000-0005-0000-0000-000065020000}"/>
    <cellStyle name="Accent3 4" xfId="178" xr:uid="{00000000-0005-0000-0000-000066020000}"/>
    <cellStyle name="Accent3 4 2" xfId="1249" xr:uid="{00000000-0005-0000-0000-000067020000}"/>
    <cellStyle name="Accent3 4 3" xfId="4658" xr:uid="{00000000-0005-0000-0000-000068020000}"/>
    <cellStyle name="Accent3 5" xfId="1250" xr:uid="{00000000-0005-0000-0000-000069020000}"/>
    <cellStyle name="Accent3 6" xfId="1251" xr:uid="{00000000-0005-0000-0000-00006A020000}"/>
    <cellStyle name="Accent3 7" xfId="1252" xr:uid="{00000000-0005-0000-0000-00006B020000}"/>
    <cellStyle name="Accent3 7 2" xfId="1253" xr:uid="{00000000-0005-0000-0000-00006C020000}"/>
    <cellStyle name="Accent4" xfId="4624" builtinId="41" customBuiltin="1"/>
    <cellStyle name="Accent4 2" xfId="179" xr:uid="{00000000-0005-0000-0000-00006E020000}"/>
    <cellStyle name="Accent4 2 2" xfId="180" xr:uid="{00000000-0005-0000-0000-00006F020000}"/>
    <cellStyle name="Accent4 2 2 2" xfId="1254" xr:uid="{00000000-0005-0000-0000-000070020000}"/>
    <cellStyle name="Accent4 2 2 2 2" xfId="1255" xr:uid="{00000000-0005-0000-0000-000071020000}"/>
    <cellStyle name="Accent4 2 2 3" xfId="1256" xr:uid="{00000000-0005-0000-0000-000072020000}"/>
    <cellStyle name="Accent4 2 2 3 2" xfId="1257" xr:uid="{00000000-0005-0000-0000-000073020000}"/>
    <cellStyle name="Accent4 2 2 4" xfId="1258" xr:uid="{00000000-0005-0000-0000-000074020000}"/>
    <cellStyle name="Accent4 2 2 5" xfId="1259" xr:uid="{00000000-0005-0000-0000-000075020000}"/>
    <cellStyle name="Accent4 2 3" xfId="181" xr:uid="{00000000-0005-0000-0000-000076020000}"/>
    <cellStyle name="Accent4 2 3 2" xfId="3610" xr:uid="{00000000-0005-0000-0000-000077020000}"/>
    <cellStyle name="Accent4 2 4" xfId="182" xr:uid="{00000000-0005-0000-0000-000078020000}"/>
    <cellStyle name="Accent4 2 4 2" xfId="3611" xr:uid="{00000000-0005-0000-0000-000079020000}"/>
    <cellStyle name="Accent4 2 5" xfId="1260" xr:uid="{00000000-0005-0000-0000-00007A020000}"/>
    <cellStyle name="Accent4 2 5 2" xfId="3612" xr:uid="{00000000-0005-0000-0000-00007B020000}"/>
    <cellStyle name="Accent4 2 6" xfId="1261" xr:uid="{00000000-0005-0000-0000-00007C020000}"/>
    <cellStyle name="Accent4 2_QC Sheet" xfId="1262" xr:uid="{00000000-0005-0000-0000-00007D020000}"/>
    <cellStyle name="Accent4 3" xfId="183" xr:uid="{00000000-0005-0000-0000-00007E020000}"/>
    <cellStyle name="Accent4 3 2" xfId="1263" xr:uid="{00000000-0005-0000-0000-00007F020000}"/>
    <cellStyle name="Accent4 4" xfId="184" xr:uid="{00000000-0005-0000-0000-000080020000}"/>
    <cellStyle name="Accent4 4 2" xfId="1264" xr:uid="{00000000-0005-0000-0000-000081020000}"/>
    <cellStyle name="Accent4 4 3" xfId="4659" xr:uid="{00000000-0005-0000-0000-000082020000}"/>
    <cellStyle name="Accent4 5" xfId="1265" xr:uid="{00000000-0005-0000-0000-000083020000}"/>
    <cellStyle name="Accent4 6" xfId="1266" xr:uid="{00000000-0005-0000-0000-000084020000}"/>
    <cellStyle name="Accent4 7" xfId="1267" xr:uid="{00000000-0005-0000-0000-000085020000}"/>
    <cellStyle name="Accent4 7 2" xfId="1268" xr:uid="{00000000-0005-0000-0000-000086020000}"/>
    <cellStyle name="Accent5" xfId="4628" builtinId="45" customBuiltin="1"/>
    <cellStyle name="Accent5 2" xfId="185" xr:uid="{00000000-0005-0000-0000-000088020000}"/>
    <cellStyle name="Accent5 2 2" xfId="186" xr:uid="{00000000-0005-0000-0000-000089020000}"/>
    <cellStyle name="Accent5 2 2 2" xfId="1269" xr:uid="{00000000-0005-0000-0000-00008A020000}"/>
    <cellStyle name="Accent5 2 2 2 2" xfId="1270" xr:uid="{00000000-0005-0000-0000-00008B020000}"/>
    <cellStyle name="Accent5 2 2 3" xfId="1271" xr:uid="{00000000-0005-0000-0000-00008C020000}"/>
    <cellStyle name="Accent5 2 2 3 2" xfId="1272" xr:uid="{00000000-0005-0000-0000-00008D020000}"/>
    <cellStyle name="Accent5 2 2 4" xfId="1273" xr:uid="{00000000-0005-0000-0000-00008E020000}"/>
    <cellStyle name="Accent5 2 2 5" xfId="1274" xr:uid="{00000000-0005-0000-0000-00008F020000}"/>
    <cellStyle name="Accent5 2 3" xfId="187" xr:uid="{00000000-0005-0000-0000-000090020000}"/>
    <cellStyle name="Accent5 2 3 2" xfId="3613" xr:uid="{00000000-0005-0000-0000-000091020000}"/>
    <cellStyle name="Accent5 2 4" xfId="1275" xr:uid="{00000000-0005-0000-0000-000092020000}"/>
    <cellStyle name="Accent5 2 5" xfId="1276" xr:uid="{00000000-0005-0000-0000-000093020000}"/>
    <cellStyle name="Accent5 2 5 2" xfId="3614" xr:uid="{00000000-0005-0000-0000-000094020000}"/>
    <cellStyle name="Accent5 2_QC Sheet" xfId="1277" xr:uid="{00000000-0005-0000-0000-000095020000}"/>
    <cellStyle name="Accent5 3" xfId="188" xr:uid="{00000000-0005-0000-0000-000096020000}"/>
    <cellStyle name="Accent5 3 2" xfId="1278" xr:uid="{00000000-0005-0000-0000-000097020000}"/>
    <cellStyle name="Accent5 4" xfId="189" xr:uid="{00000000-0005-0000-0000-000098020000}"/>
    <cellStyle name="Accent5 4 2" xfId="1279" xr:uid="{00000000-0005-0000-0000-000099020000}"/>
    <cellStyle name="Accent5 4 3" xfId="4660" xr:uid="{00000000-0005-0000-0000-00009A020000}"/>
    <cellStyle name="Accent5 5" xfId="1280" xr:uid="{00000000-0005-0000-0000-00009B020000}"/>
    <cellStyle name="Accent5 6" xfId="1281" xr:uid="{00000000-0005-0000-0000-00009C020000}"/>
    <cellStyle name="Accent5 7" xfId="1282" xr:uid="{00000000-0005-0000-0000-00009D020000}"/>
    <cellStyle name="Accent5 7 2" xfId="1283" xr:uid="{00000000-0005-0000-0000-00009E020000}"/>
    <cellStyle name="Accent6" xfId="4632" builtinId="49" customBuiltin="1"/>
    <cellStyle name="Accent6 2" xfId="190" xr:uid="{00000000-0005-0000-0000-0000A0020000}"/>
    <cellStyle name="Accent6 2 2" xfId="191" xr:uid="{00000000-0005-0000-0000-0000A1020000}"/>
    <cellStyle name="Accent6 2 2 2" xfId="1284" xr:uid="{00000000-0005-0000-0000-0000A2020000}"/>
    <cellStyle name="Accent6 2 2 2 2" xfId="1285" xr:uid="{00000000-0005-0000-0000-0000A3020000}"/>
    <cellStyle name="Accent6 2 2 3" xfId="1286" xr:uid="{00000000-0005-0000-0000-0000A4020000}"/>
    <cellStyle name="Accent6 2 2 3 2" xfId="1287" xr:uid="{00000000-0005-0000-0000-0000A5020000}"/>
    <cellStyle name="Accent6 2 2 4" xfId="1288" xr:uid="{00000000-0005-0000-0000-0000A6020000}"/>
    <cellStyle name="Accent6 2 2 5" xfId="1289" xr:uid="{00000000-0005-0000-0000-0000A7020000}"/>
    <cellStyle name="Accent6 2 3" xfId="192" xr:uid="{00000000-0005-0000-0000-0000A8020000}"/>
    <cellStyle name="Accent6 2 3 2" xfId="3615" xr:uid="{00000000-0005-0000-0000-0000A9020000}"/>
    <cellStyle name="Accent6 2 4" xfId="193" xr:uid="{00000000-0005-0000-0000-0000AA020000}"/>
    <cellStyle name="Accent6 2 4 2" xfId="3616" xr:uid="{00000000-0005-0000-0000-0000AB020000}"/>
    <cellStyle name="Accent6 2 5" xfId="1290" xr:uid="{00000000-0005-0000-0000-0000AC020000}"/>
    <cellStyle name="Accent6 2 5 2" xfId="3617" xr:uid="{00000000-0005-0000-0000-0000AD020000}"/>
    <cellStyle name="Accent6 2_QC Sheet" xfId="1291" xr:uid="{00000000-0005-0000-0000-0000AE020000}"/>
    <cellStyle name="Accent6 3" xfId="194" xr:uid="{00000000-0005-0000-0000-0000AF020000}"/>
    <cellStyle name="Accent6 3 2" xfId="1292" xr:uid="{00000000-0005-0000-0000-0000B0020000}"/>
    <cellStyle name="Accent6 4" xfId="195" xr:uid="{00000000-0005-0000-0000-0000B1020000}"/>
    <cellStyle name="Accent6 4 2" xfId="1293" xr:uid="{00000000-0005-0000-0000-0000B2020000}"/>
    <cellStyle name="Accent6 4 3" xfId="4661" xr:uid="{00000000-0005-0000-0000-0000B3020000}"/>
    <cellStyle name="Accent6 5" xfId="1294" xr:uid="{00000000-0005-0000-0000-0000B4020000}"/>
    <cellStyle name="Accent6 6" xfId="1295" xr:uid="{00000000-0005-0000-0000-0000B5020000}"/>
    <cellStyle name="Accent6 7" xfId="1296" xr:uid="{00000000-0005-0000-0000-0000B6020000}"/>
    <cellStyle name="Accent6 7 2" xfId="1297" xr:uid="{00000000-0005-0000-0000-0000B7020000}"/>
    <cellStyle name="Actual Date" xfId="1298" xr:uid="{00000000-0005-0000-0000-0000B8020000}"/>
    <cellStyle name="Actual Date 2" xfId="1299" xr:uid="{00000000-0005-0000-0000-0000B9020000}"/>
    <cellStyle name="Adjustable" xfId="1300" xr:uid="{00000000-0005-0000-0000-0000BA020000}"/>
    <cellStyle name="Adjustable 2" xfId="1301" xr:uid="{00000000-0005-0000-0000-0000BB020000}"/>
    <cellStyle name="Bad" xfId="386" builtinId="27" customBuiltin="1"/>
    <cellStyle name="Bad 2" xfId="196" xr:uid="{00000000-0005-0000-0000-0000BD020000}"/>
    <cellStyle name="Bad 2 2" xfId="197" xr:uid="{00000000-0005-0000-0000-0000BE020000}"/>
    <cellStyle name="Bad 2 2 2" xfId="1302" xr:uid="{00000000-0005-0000-0000-0000BF020000}"/>
    <cellStyle name="Bad 2 2 2 2" xfId="1303" xr:uid="{00000000-0005-0000-0000-0000C0020000}"/>
    <cellStyle name="Bad 2 2 3" xfId="1304" xr:uid="{00000000-0005-0000-0000-0000C1020000}"/>
    <cellStyle name="Bad 2 2 3 2" xfId="1305" xr:uid="{00000000-0005-0000-0000-0000C2020000}"/>
    <cellStyle name="Bad 2 2 4" xfId="1306" xr:uid="{00000000-0005-0000-0000-0000C3020000}"/>
    <cellStyle name="Bad 2 2 5" xfId="1307" xr:uid="{00000000-0005-0000-0000-0000C4020000}"/>
    <cellStyle name="Bad 2 3" xfId="198" xr:uid="{00000000-0005-0000-0000-0000C5020000}"/>
    <cellStyle name="Bad 2 3 2" xfId="3618" xr:uid="{00000000-0005-0000-0000-0000C6020000}"/>
    <cellStyle name="Bad 2 4" xfId="614" xr:uid="{00000000-0005-0000-0000-0000C7020000}"/>
    <cellStyle name="Bad 2 4 2" xfId="3619" xr:uid="{00000000-0005-0000-0000-0000C8020000}"/>
    <cellStyle name="Bad 2 5" xfId="610" xr:uid="{00000000-0005-0000-0000-0000C9020000}"/>
    <cellStyle name="Bad 2 5 2" xfId="5104" xr:uid="{00000000-0005-0000-0000-0000CA020000}"/>
    <cellStyle name="Bad 2_QC Sheet" xfId="1308" xr:uid="{00000000-0005-0000-0000-0000CB020000}"/>
    <cellStyle name="Bad 3" xfId="199" xr:uid="{00000000-0005-0000-0000-0000CC020000}"/>
    <cellStyle name="Bad 3 2" xfId="1309" xr:uid="{00000000-0005-0000-0000-0000CD020000}"/>
    <cellStyle name="Bad 4" xfId="200" xr:uid="{00000000-0005-0000-0000-0000CE020000}"/>
    <cellStyle name="Bad 4 2" xfId="1310" xr:uid="{00000000-0005-0000-0000-0000CF020000}"/>
    <cellStyle name="Bad 4 3" xfId="4662" xr:uid="{00000000-0005-0000-0000-0000D0020000}"/>
    <cellStyle name="Bad 5" xfId="1311" xr:uid="{00000000-0005-0000-0000-0000D1020000}"/>
    <cellStyle name="Bad 6" xfId="1312" xr:uid="{00000000-0005-0000-0000-0000D2020000}"/>
    <cellStyle name="Bad 7" xfId="1313" xr:uid="{00000000-0005-0000-0000-0000D3020000}"/>
    <cellStyle name="Bad 7 2" xfId="1314" xr:uid="{00000000-0005-0000-0000-0000D4020000}"/>
    <cellStyle name="Calc Currency (0)" xfId="1315" xr:uid="{00000000-0005-0000-0000-0000D5020000}"/>
    <cellStyle name="Calculation" xfId="4607" builtinId="22" customBuiltin="1"/>
    <cellStyle name="Calculation 2" xfId="201" xr:uid="{00000000-0005-0000-0000-0000D7020000}"/>
    <cellStyle name="Calculation 2 2" xfId="202" xr:uid="{00000000-0005-0000-0000-0000D8020000}"/>
    <cellStyle name="Calculation 2 2 2" xfId="1316" xr:uid="{00000000-0005-0000-0000-0000D9020000}"/>
    <cellStyle name="Calculation 2 2 2 2" xfId="1317" xr:uid="{00000000-0005-0000-0000-0000DA020000}"/>
    <cellStyle name="Calculation 2 2 3" xfId="1318" xr:uid="{00000000-0005-0000-0000-0000DB020000}"/>
    <cellStyle name="Calculation 2 2 3 2" xfId="1319" xr:uid="{00000000-0005-0000-0000-0000DC020000}"/>
    <cellStyle name="Calculation 2 2 4" xfId="1320" xr:uid="{00000000-0005-0000-0000-0000DD020000}"/>
    <cellStyle name="Calculation 2 2 5" xfId="1321" xr:uid="{00000000-0005-0000-0000-0000DE020000}"/>
    <cellStyle name="Calculation 2 3" xfId="203" xr:uid="{00000000-0005-0000-0000-0000DF020000}"/>
    <cellStyle name="Calculation 2 3 2" xfId="3620" xr:uid="{00000000-0005-0000-0000-0000E0020000}"/>
    <cellStyle name="Calculation 2 4" xfId="1322" xr:uid="{00000000-0005-0000-0000-0000E1020000}"/>
    <cellStyle name="Calculation 2 5" xfId="1323" xr:uid="{00000000-0005-0000-0000-0000E2020000}"/>
    <cellStyle name="Calculation 2 5 2" xfId="3621" xr:uid="{00000000-0005-0000-0000-0000E3020000}"/>
    <cellStyle name="Calculation 2 6" xfId="1324" xr:uid="{00000000-0005-0000-0000-0000E4020000}"/>
    <cellStyle name="Calculation 2_QC" xfId="1325" xr:uid="{00000000-0005-0000-0000-0000E5020000}"/>
    <cellStyle name="Calculation 3" xfId="204" xr:uid="{00000000-0005-0000-0000-0000E6020000}"/>
    <cellStyle name="Calculation 3 2" xfId="1326" xr:uid="{00000000-0005-0000-0000-0000E7020000}"/>
    <cellStyle name="Calculation 3 3" xfId="1327" xr:uid="{00000000-0005-0000-0000-0000E8020000}"/>
    <cellStyle name="Calculation 4" xfId="205" xr:uid="{00000000-0005-0000-0000-0000E9020000}"/>
    <cellStyle name="Calculation 4 2" xfId="1328" xr:uid="{00000000-0005-0000-0000-0000EA020000}"/>
    <cellStyle name="Calculation 4 3" xfId="1329" xr:uid="{00000000-0005-0000-0000-0000EB020000}"/>
    <cellStyle name="Calculation 5" xfId="1330" xr:uid="{00000000-0005-0000-0000-0000EC020000}"/>
    <cellStyle name="Calculation 5 2" xfId="1331" xr:uid="{00000000-0005-0000-0000-0000ED020000}"/>
    <cellStyle name="Calculation 6" xfId="1332" xr:uid="{00000000-0005-0000-0000-0000EE020000}"/>
    <cellStyle name="Calculation 7" xfId="1333" xr:uid="{00000000-0005-0000-0000-0000EF020000}"/>
    <cellStyle name="Calculation 7 2" xfId="1334" xr:uid="{00000000-0005-0000-0000-0000F0020000}"/>
    <cellStyle name="Check Cell" xfId="4609" builtinId="23" customBuiltin="1"/>
    <cellStyle name="Check Cell 2" xfId="206" xr:uid="{00000000-0005-0000-0000-0000F2020000}"/>
    <cellStyle name="Check Cell 2 2" xfId="207" xr:uid="{00000000-0005-0000-0000-0000F3020000}"/>
    <cellStyle name="Check Cell 2 2 2" xfId="1335" xr:uid="{00000000-0005-0000-0000-0000F4020000}"/>
    <cellStyle name="Check Cell 2 2 2 2" xfId="1336" xr:uid="{00000000-0005-0000-0000-0000F5020000}"/>
    <cellStyle name="Check Cell 2 2 3" xfId="1337" xr:uid="{00000000-0005-0000-0000-0000F6020000}"/>
    <cellStyle name="Check Cell 2 2 3 2" xfId="1338" xr:uid="{00000000-0005-0000-0000-0000F7020000}"/>
    <cellStyle name="Check Cell 2 2 4" xfId="1339" xr:uid="{00000000-0005-0000-0000-0000F8020000}"/>
    <cellStyle name="Check Cell 2 2 5" xfId="1340" xr:uid="{00000000-0005-0000-0000-0000F9020000}"/>
    <cellStyle name="Check Cell 2 3" xfId="208" xr:uid="{00000000-0005-0000-0000-0000FA020000}"/>
    <cellStyle name="Check Cell 2 3 2" xfId="3622" xr:uid="{00000000-0005-0000-0000-0000FB020000}"/>
    <cellStyle name="Check Cell 2 4" xfId="209" xr:uid="{00000000-0005-0000-0000-0000FC020000}"/>
    <cellStyle name="Check Cell 2 4 2" xfId="3623" xr:uid="{00000000-0005-0000-0000-0000FD020000}"/>
    <cellStyle name="Check Cell 2 5" xfId="1341" xr:uid="{00000000-0005-0000-0000-0000FE020000}"/>
    <cellStyle name="Check Cell 2 5 2" xfId="3624" xr:uid="{00000000-0005-0000-0000-0000FF020000}"/>
    <cellStyle name="Check Cell 2 6" xfId="1342" xr:uid="{00000000-0005-0000-0000-000000030000}"/>
    <cellStyle name="Check Cell 2_QC" xfId="1343" xr:uid="{00000000-0005-0000-0000-000001030000}"/>
    <cellStyle name="Check Cell 3" xfId="210" xr:uid="{00000000-0005-0000-0000-000002030000}"/>
    <cellStyle name="Check Cell 3 2" xfId="1344" xr:uid="{00000000-0005-0000-0000-000003030000}"/>
    <cellStyle name="Check Cell 4" xfId="211" xr:uid="{00000000-0005-0000-0000-000004030000}"/>
    <cellStyle name="Check Cell 4 2" xfId="1345" xr:uid="{00000000-0005-0000-0000-000005030000}"/>
    <cellStyle name="Check Cell 4 3" xfId="4663" xr:uid="{00000000-0005-0000-0000-000006030000}"/>
    <cellStyle name="Check Cell 5" xfId="212" xr:uid="{00000000-0005-0000-0000-000007030000}"/>
    <cellStyle name="Check Cell 5 2" xfId="4688" xr:uid="{00000000-0005-0000-0000-000008030000}"/>
    <cellStyle name="Check Cell 6" xfId="1346" xr:uid="{00000000-0005-0000-0000-000009030000}"/>
    <cellStyle name="Check Cell 7" xfId="1347" xr:uid="{00000000-0005-0000-0000-00000A030000}"/>
    <cellStyle name="Check Cell 7 2" xfId="1348" xr:uid="{00000000-0005-0000-0000-00000B030000}"/>
    <cellStyle name="Comma" xfId="1" builtinId="3"/>
    <cellStyle name="Comma 0" xfId="1349" xr:uid="{00000000-0005-0000-0000-00000D030000}"/>
    <cellStyle name="Comma 10" xfId="391" xr:uid="{00000000-0005-0000-0000-00000E030000}"/>
    <cellStyle name="Comma 10 2" xfId="485" xr:uid="{00000000-0005-0000-0000-00000F030000}"/>
    <cellStyle name="Comma 10 2 2" xfId="491" xr:uid="{00000000-0005-0000-0000-000010030000}"/>
    <cellStyle name="Comma 10 2 2 2" xfId="385" xr:uid="{00000000-0005-0000-0000-000011030000}"/>
    <cellStyle name="Comma 10 2 2 3" xfId="745" xr:uid="{00000000-0005-0000-0000-000012030000}"/>
    <cellStyle name="Comma 10 2 3" xfId="739" xr:uid="{00000000-0005-0000-0000-000013030000}"/>
    <cellStyle name="Comma 10 2 3 2" xfId="3785" xr:uid="{00000000-0005-0000-0000-000014030000}"/>
    <cellStyle name="Comma 10 2 4" xfId="3897" xr:uid="{00000000-0005-0000-0000-000015030000}"/>
    <cellStyle name="Comma 10 3" xfId="490" xr:uid="{00000000-0005-0000-0000-000016030000}"/>
    <cellStyle name="Comma 10 3 2" xfId="744" xr:uid="{00000000-0005-0000-0000-000017030000}"/>
    <cellStyle name="Comma 10 3 2 2" xfId="4387" xr:uid="{00000000-0005-0000-0000-000018030000}"/>
    <cellStyle name="Comma 10 3 3" xfId="3786" xr:uid="{00000000-0005-0000-0000-000019030000}"/>
    <cellStyle name="Comma 10 4" xfId="680" xr:uid="{00000000-0005-0000-0000-00001A030000}"/>
    <cellStyle name="Comma 10 4 2" xfId="3787" xr:uid="{00000000-0005-0000-0000-00001B030000}"/>
    <cellStyle name="Comma 10 5" xfId="3784" xr:uid="{00000000-0005-0000-0000-00001C030000}"/>
    <cellStyle name="Comma 10 6" xfId="3896" xr:uid="{00000000-0005-0000-0000-00001D030000}"/>
    <cellStyle name="Comma 11" xfId="487" xr:uid="{00000000-0005-0000-0000-00001E030000}"/>
    <cellStyle name="Comma 11 2" xfId="741" xr:uid="{00000000-0005-0000-0000-00001F030000}"/>
    <cellStyle name="Comma 11 2 2" xfId="1350" xr:uid="{00000000-0005-0000-0000-000020030000}"/>
    <cellStyle name="Comma 11 2 3" xfId="5079" xr:uid="{00000000-0005-0000-0000-000021030000}"/>
    <cellStyle name="Comma 11 3" xfId="1351" xr:uid="{00000000-0005-0000-0000-000022030000}"/>
    <cellStyle name="Comma 11 3 2" xfId="1352" xr:uid="{00000000-0005-0000-0000-000023030000}"/>
    <cellStyle name="Comma 11 3 3" xfId="1353" xr:uid="{00000000-0005-0000-0000-000024030000}"/>
    <cellStyle name="Comma 11 4" xfId="1354" xr:uid="{00000000-0005-0000-0000-000025030000}"/>
    <cellStyle name="Comma 11 5" xfId="4681" xr:uid="{00000000-0005-0000-0000-000026030000}"/>
    <cellStyle name="Comma 12" xfId="1355" xr:uid="{00000000-0005-0000-0000-000027030000}"/>
    <cellStyle name="Comma 12 2" xfId="1356" xr:uid="{00000000-0005-0000-0000-000028030000}"/>
    <cellStyle name="Comma 12 3" xfId="1357" xr:uid="{00000000-0005-0000-0000-000029030000}"/>
    <cellStyle name="Comma 12 4" xfId="1358" xr:uid="{00000000-0005-0000-0000-00002A030000}"/>
    <cellStyle name="Comma 13" xfId="1359" xr:uid="{00000000-0005-0000-0000-00002B030000}"/>
    <cellStyle name="Comma 13 2" xfId="1360" xr:uid="{00000000-0005-0000-0000-00002C030000}"/>
    <cellStyle name="Comma 13 2 2" xfId="1361" xr:uid="{00000000-0005-0000-0000-00002D030000}"/>
    <cellStyle name="Comma 13 2 3" xfId="1362" xr:uid="{00000000-0005-0000-0000-00002E030000}"/>
    <cellStyle name="Comma 13 3" xfId="1363" xr:uid="{00000000-0005-0000-0000-00002F030000}"/>
    <cellStyle name="Comma 13 3 10" xfId="4695" xr:uid="{00000000-0005-0000-0000-000030030000}"/>
    <cellStyle name="Comma 13 3 2" xfId="1364" xr:uid="{00000000-0005-0000-0000-000031030000}"/>
    <cellStyle name="Comma 13 3 2 2" xfId="1365" xr:uid="{00000000-0005-0000-0000-000032030000}"/>
    <cellStyle name="Comma 13 3 2 2 2" xfId="1366" xr:uid="{00000000-0005-0000-0000-000033030000}"/>
    <cellStyle name="Comma 13 3 2 2 2 2" xfId="1367" xr:uid="{00000000-0005-0000-0000-000034030000}"/>
    <cellStyle name="Comma 13 3 2 2 2 2 2" xfId="5309" xr:uid="{00000000-0005-0000-0000-000035030000}"/>
    <cellStyle name="Comma 13 3 2 2 2 3" xfId="4886" xr:uid="{00000000-0005-0000-0000-000036030000}"/>
    <cellStyle name="Comma 13 3 2 2 3" xfId="1368" xr:uid="{00000000-0005-0000-0000-000037030000}"/>
    <cellStyle name="Comma 13 3 2 2 3 2" xfId="5223" xr:uid="{00000000-0005-0000-0000-000038030000}"/>
    <cellStyle name="Comma 13 3 2 2 4" xfId="4797" xr:uid="{00000000-0005-0000-0000-000039030000}"/>
    <cellStyle name="Comma 13 3 2 3" xfId="1369" xr:uid="{00000000-0005-0000-0000-00003A030000}"/>
    <cellStyle name="Comma 13 3 2 3 2" xfId="1370" xr:uid="{00000000-0005-0000-0000-00003B030000}"/>
    <cellStyle name="Comma 13 3 2 3 2 2" xfId="5308" xr:uid="{00000000-0005-0000-0000-00003C030000}"/>
    <cellStyle name="Comma 13 3 2 3 3" xfId="4885" xr:uid="{00000000-0005-0000-0000-00003D030000}"/>
    <cellStyle name="Comma 13 3 2 4" xfId="1371" xr:uid="{00000000-0005-0000-0000-00003E030000}"/>
    <cellStyle name="Comma 13 3 2 4 2" xfId="5183" xr:uid="{00000000-0005-0000-0000-00003F030000}"/>
    <cellStyle name="Comma 13 3 2 5" xfId="4754" xr:uid="{00000000-0005-0000-0000-000040030000}"/>
    <cellStyle name="Comma 13 3 3" xfId="1372" xr:uid="{00000000-0005-0000-0000-000041030000}"/>
    <cellStyle name="Comma 13 3 3 2" xfId="1373" xr:uid="{00000000-0005-0000-0000-000042030000}"/>
    <cellStyle name="Comma 13 3 3 2 2" xfId="1374" xr:uid="{00000000-0005-0000-0000-000043030000}"/>
    <cellStyle name="Comma 13 3 3 2 2 2" xfId="5310" xr:uid="{00000000-0005-0000-0000-000044030000}"/>
    <cellStyle name="Comma 13 3 3 2 3" xfId="4887" xr:uid="{00000000-0005-0000-0000-000045030000}"/>
    <cellStyle name="Comma 13 3 3 3" xfId="1375" xr:uid="{00000000-0005-0000-0000-000046030000}"/>
    <cellStyle name="Comma 13 3 3 3 2" xfId="5245" xr:uid="{00000000-0005-0000-0000-000047030000}"/>
    <cellStyle name="Comma 13 3 3 4" xfId="4819" xr:uid="{00000000-0005-0000-0000-000048030000}"/>
    <cellStyle name="Comma 13 3 4" xfId="1376" xr:uid="{00000000-0005-0000-0000-000049030000}"/>
    <cellStyle name="Comma 13 3 4 2" xfId="1377" xr:uid="{00000000-0005-0000-0000-00004A030000}"/>
    <cellStyle name="Comma 13 3 4 2 2" xfId="1378" xr:uid="{00000000-0005-0000-0000-00004B030000}"/>
    <cellStyle name="Comma 13 3 4 2 2 2" xfId="5311" xr:uid="{00000000-0005-0000-0000-00004C030000}"/>
    <cellStyle name="Comma 13 3 4 2 3" xfId="4888" xr:uid="{00000000-0005-0000-0000-00004D030000}"/>
    <cellStyle name="Comma 13 3 4 3" xfId="1379" xr:uid="{00000000-0005-0000-0000-00004E030000}"/>
    <cellStyle name="Comma 13 3 4 3 2" xfId="5208" xr:uid="{00000000-0005-0000-0000-00004F030000}"/>
    <cellStyle name="Comma 13 3 4 4" xfId="4782" xr:uid="{00000000-0005-0000-0000-000050030000}"/>
    <cellStyle name="Comma 13 3 5" xfId="1380" xr:uid="{00000000-0005-0000-0000-000051030000}"/>
    <cellStyle name="Comma 13 3 5 2" xfId="1381" xr:uid="{00000000-0005-0000-0000-000052030000}"/>
    <cellStyle name="Comma 13 3 5 2 2" xfId="1382" xr:uid="{00000000-0005-0000-0000-000053030000}"/>
    <cellStyle name="Comma 13 3 5 2 2 2" xfId="5312" xr:uid="{00000000-0005-0000-0000-000054030000}"/>
    <cellStyle name="Comma 13 3 5 2 3" xfId="4889" xr:uid="{00000000-0005-0000-0000-000055030000}"/>
    <cellStyle name="Comma 13 3 5 3" xfId="1383" xr:uid="{00000000-0005-0000-0000-000056030000}"/>
    <cellStyle name="Comma 13 3 5 3 2" xfId="5281" xr:uid="{00000000-0005-0000-0000-000057030000}"/>
    <cellStyle name="Comma 13 3 5 4" xfId="4858" xr:uid="{00000000-0005-0000-0000-000058030000}"/>
    <cellStyle name="Comma 13 3 6" xfId="1384" xr:uid="{00000000-0005-0000-0000-000059030000}"/>
    <cellStyle name="Comma 13 3 6 2" xfId="1385" xr:uid="{00000000-0005-0000-0000-00005A030000}"/>
    <cellStyle name="Comma 13 3 6 2 2" xfId="1386" xr:uid="{00000000-0005-0000-0000-00005B030000}"/>
    <cellStyle name="Comma 13 3 6 2 2 2" xfId="5313" xr:uid="{00000000-0005-0000-0000-00005C030000}"/>
    <cellStyle name="Comma 13 3 6 2 3" xfId="4890" xr:uid="{00000000-0005-0000-0000-00005D030000}"/>
    <cellStyle name="Comma 13 3 6 3" xfId="1387" xr:uid="{00000000-0005-0000-0000-00005E030000}"/>
    <cellStyle name="Comma 13 3 6 3 2" xfId="5168" xr:uid="{00000000-0005-0000-0000-00005F030000}"/>
    <cellStyle name="Comma 13 3 6 4" xfId="4739" xr:uid="{00000000-0005-0000-0000-000060030000}"/>
    <cellStyle name="Comma 13 3 7" xfId="1388" xr:uid="{00000000-0005-0000-0000-000061030000}"/>
    <cellStyle name="Comma 13 3 7 2" xfId="1389" xr:uid="{00000000-0005-0000-0000-000062030000}"/>
    <cellStyle name="Comma 13 3 7 2 2" xfId="5307" xr:uid="{00000000-0005-0000-0000-000063030000}"/>
    <cellStyle name="Comma 13 3 7 3" xfId="4884" xr:uid="{00000000-0005-0000-0000-000064030000}"/>
    <cellStyle name="Comma 13 3 8" xfId="1390" xr:uid="{00000000-0005-0000-0000-000065030000}"/>
    <cellStyle name="Comma 13 3 9" xfId="1391" xr:uid="{00000000-0005-0000-0000-000066030000}"/>
    <cellStyle name="Comma 13 3 9 2" xfId="5143" xr:uid="{00000000-0005-0000-0000-000067030000}"/>
    <cellStyle name="Comma 13 4" xfId="1392" xr:uid="{00000000-0005-0000-0000-000068030000}"/>
    <cellStyle name="Comma 13 5" xfId="1393" xr:uid="{00000000-0005-0000-0000-000069030000}"/>
    <cellStyle name="Comma 14" xfId="1394" xr:uid="{00000000-0005-0000-0000-00006A030000}"/>
    <cellStyle name="Comma 14 2" xfId="1395" xr:uid="{00000000-0005-0000-0000-00006B030000}"/>
    <cellStyle name="Comma 14 2 2" xfId="1396" xr:uid="{00000000-0005-0000-0000-00006C030000}"/>
    <cellStyle name="Comma 14 3" xfId="1397" xr:uid="{00000000-0005-0000-0000-00006D030000}"/>
    <cellStyle name="Comma 15" xfId="1398" xr:uid="{00000000-0005-0000-0000-00006E030000}"/>
    <cellStyle name="Comma 15 10" xfId="1399" xr:uid="{00000000-0005-0000-0000-00006F030000}"/>
    <cellStyle name="Comma 15 11" xfId="1400" xr:uid="{00000000-0005-0000-0000-000070030000}"/>
    <cellStyle name="Comma 15 11 2" xfId="5144" xr:uid="{00000000-0005-0000-0000-000071030000}"/>
    <cellStyle name="Comma 15 12" xfId="4696" xr:uid="{00000000-0005-0000-0000-000072030000}"/>
    <cellStyle name="Comma 15 2" xfId="1401" xr:uid="{00000000-0005-0000-0000-000073030000}"/>
    <cellStyle name="Comma 15 2 10" xfId="1402" xr:uid="{00000000-0005-0000-0000-000074030000}"/>
    <cellStyle name="Comma 15 2 10 2" xfId="5145" xr:uid="{00000000-0005-0000-0000-000075030000}"/>
    <cellStyle name="Comma 15 2 11" xfId="4697" xr:uid="{00000000-0005-0000-0000-000076030000}"/>
    <cellStyle name="Comma 15 2 2" xfId="1403" xr:uid="{00000000-0005-0000-0000-000077030000}"/>
    <cellStyle name="Comma 15 2 2 10" xfId="4698" xr:uid="{00000000-0005-0000-0000-000078030000}"/>
    <cellStyle name="Comma 15 2 2 2" xfId="1404" xr:uid="{00000000-0005-0000-0000-000079030000}"/>
    <cellStyle name="Comma 15 2 2 2 2" xfId="1405" xr:uid="{00000000-0005-0000-0000-00007A030000}"/>
    <cellStyle name="Comma 15 2 2 2 2 2" xfId="1406" xr:uid="{00000000-0005-0000-0000-00007B030000}"/>
    <cellStyle name="Comma 15 2 2 2 2 2 2" xfId="1407" xr:uid="{00000000-0005-0000-0000-00007C030000}"/>
    <cellStyle name="Comma 15 2 2 2 2 2 2 2" xfId="5318" xr:uid="{00000000-0005-0000-0000-00007D030000}"/>
    <cellStyle name="Comma 15 2 2 2 2 2 3" xfId="4895" xr:uid="{00000000-0005-0000-0000-00007E030000}"/>
    <cellStyle name="Comma 15 2 2 2 2 3" xfId="1408" xr:uid="{00000000-0005-0000-0000-00007F030000}"/>
    <cellStyle name="Comma 15 2 2 2 2 3 2" xfId="5226" xr:uid="{00000000-0005-0000-0000-000080030000}"/>
    <cellStyle name="Comma 15 2 2 2 2 4" xfId="4800" xr:uid="{00000000-0005-0000-0000-000081030000}"/>
    <cellStyle name="Comma 15 2 2 2 3" xfId="1409" xr:uid="{00000000-0005-0000-0000-000082030000}"/>
    <cellStyle name="Comma 15 2 2 2 3 2" xfId="1410" xr:uid="{00000000-0005-0000-0000-000083030000}"/>
    <cellStyle name="Comma 15 2 2 2 3 2 2" xfId="5317" xr:uid="{00000000-0005-0000-0000-000084030000}"/>
    <cellStyle name="Comma 15 2 2 2 3 3" xfId="4894" xr:uid="{00000000-0005-0000-0000-000085030000}"/>
    <cellStyle name="Comma 15 2 2 2 4" xfId="1411" xr:uid="{00000000-0005-0000-0000-000086030000}"/>
    <cellStyle name="Comma 15 2 2 2 4 2" xfId="5186" xr:uid="{00000000-0005-0000-0000-000087030000}"/>
    <cellStyle name="Comma 15 2 2 2 5" xfId="4757" xr:uid="{00000000-0005-0000-0000-000088030000}"/>
    <cellStyle name="Comma 15 2 2 3" xfId="1412" xr:uid="{00000000-0005-0000-0000-000089030000}"/>
    <cellStyle name="Comma 15 2 2 3 2" xfId="1413" xr:uid="{00000000-0005-0000-0000-00008A030000}"/>
    <cellStyle name="Comma 15 2 2 3 2 2" xfId="1414" xr:uid="{00000000-0005-0000-0000-00008B030000}"/>
    <cellStyle name="Comma 15 2 2 3 2 2 2" xfId="5319" xr:uid="{00000000-0005-0000-0000-00008C030000}"/>
    <cellStyle name="Comma 15 2 2 3 2 3" xfId="4896" xr:uid="{00000000-0005-0000-0000-00008D030000}"/>
    <cellStyle name="Comma 15 2 2 3 3" xfId="1415" xr:uid="{00000000-0005-0000-0000-00008E030000}"/>
    <cellStyle name="Comma 15 2 2 3 3 2" xfId="5248" xr:uid="{00000000-0005-0000-0000-00008F030000}"/>
    <cellStyle name="Comma 15 2 2 3 4" xfId="4822" xr:uid="{00000000-0005-0000-0000-000090030000}"/>
    <cellStyle name="Comma 15 2 2 4" xfId="1416" xr:uid="{00000000-0005-0000-0000-000091030000}"/>
    <cellStyle name="Comma 15 2 2 4 2" xfId="1417" xr:uid="{00000000-0005-0000-0000-000092030000}"/>
    <cellStyle name="Comma 15 2 2 4 2 2" xfId="1418" xr:uid="{00000000-0005-0000-0000-000093030000}"/>
    <cellStyle name="Comma 15 2 2 4 2 2 2" xfId="5320" xr:uid="{00000000-0005-0000-0000-000094030000}"/>
    <cellStyle name="Comma 15 2 2 4 2 3" xfId="4897" xr:uid="{00000000-0005-0000-0000-000095030000}"/>
    <cellStyle name="Comma 15 2 2 4 3" xfId="1419" xr:uid="{00000000-0005-0000-0000-000096030000}"/>
    <cellStyle name="Comma 15 2 2 4 3 2" xfId="5211" xr:uid="{00000000-0005-0000-0000-000097030000}"/>
    <cellStyle name="Comma 15 2 2 4 4" xfId="4785" xr:uid="{00000000-0005-0000-0000-000098030000}"/>
    <cellStyle name="Comma 15 2 2 5" xfId="1420" xr:uid="{00000000-0005-0000-0000-000099030000}"/>
    <cellStyle name="Comma 15 2 2 5 2" xfId="1421" xr:uid="{00000000-0005-0000-0000-00009A030000}"/>
    <cellStyle name="Comma 15 2 2 5 2 2" xfId="1422" xr:uid="{00000000-0005-0000-0000-00009B030000}"/>
    <cellStyle name="Comma 15 2 2 5 2 2 2" xfId="5321" xr:uid="{00000000-0005-0000-0000-00009C030000}"/>
    <cellStyle name="Comma 15 2 2 5 2 3" xfId="4898" xr:uid="{00000000-0005-0000-0000-00009D030000}"/>
    <cellStyle name="Comma 15 2 2 5 3" xfId="1423" xr:uid="{00000000-0005-0000-0000-00009E030000}"/>
    <cellStyle name="Comma 15 2 2 5 3 2" xfId="5284" xr:uid="{00000000-0005-0000-0000-00009F030000}"/>
    <cellStyle name="Comma 15 2 2 5 4" xfId="4861" xr:uid="{00000000-0005-0000-0000-0000A0030000}"/>
    <cellStyle name="Comma 15 2 2 6" xfId="1424" xr:uid="{00000000-0005-0000-0000-0000A1030000}"/>
    <cellStyle name="Comma 15 2 2 6 2" xfId="1425" xr:uid="{00000000-0005-0000-0000-0000A2030000}"/>
    <cellStyle name="Comma 15 2 2 6 2 2" xfId="1426" xr:uid="{00000000-0005-0000-0000-0000A3030000}"/>
    <cellStyle name="Comma 15 2 2 6 2 2 2" xfId="5322" xr:uid="{00000000-0005-0000-0000-0000A4030000}"/>
    <cellStyle name="Comma 15 2 2 6 2 3" xfId="4899" xr:uid="{00000000-0005-0000-0000-0000A5030000}"/>
    <cellStyle name="Comma 15 2 2 6 3" xfId="1427" xr:uid="{00000000-0005-0000-0000-0000A6030000}"/>
    <cellStyle name="Comma 15 2 2 6 3 2" xfId="5171" xr:uid="{00000000-0005-0000-0000-0000A7030000}"/>
    <cellStyle name="Comma 15 2 2 6 4" xfId="4742" xr:uid="{00000000-0005-0000-0000-0000A8030000}"/>
    <cellStyle name="Comma 15 2 2 7" xfId="1428" xr:uid="{00000000-0005-0000-0000-0000A9030000}"/>
    <cellStyle name="Comma 15 2 2 7 2" xfId="1429" xr:uid="{00000000-0005-0000-0000-0000AA030000}"/>
    <cellStyle name="Comma 15 2 2 7 2 2" xfId="5316" xr:uid="{00000000-0005-0000-0000-0000AB030000}"/>
    <cellStyle name="Comma 15 2 2 7 3" xfId="4893" xr:uid="{00000000-0005-0000-0000-0000AC030000}"/>
    <cellStyle name="Comma 15 2 2 8" xfId="1430" xr:uid="{00000000-0005-0000-0000-0000AD030000}"/>
    <cellStyle name="Comma 15 2 2 8 2" xfId="5146" xr:uid="{00000000-0005-0000-0000-0000AE030000}"/>
    <cellStyle name="Comma 15 2 2 9" xfId="4389" xr:uid="{00000000-0005-0000-0000-0000AF030000}"/>
    <cellStyle name="Comma 15 2 3" xfId="1431" xr:uid="{00000000-0005-0000-0000-0000B0030000}"/>
    <cellStyle name="Comma 15 2 3 2" xfId="1432" xr:uid="{00000000-0005-0000-0000-0000B1030000}"/>
    <cellStyle name="Comma 15 2 3 2 2" xfId="1433" xr:uid="{00000000-0005-0000-0000-0000B2030000}"/>
    <cellStyle name="Comma 15 2 3 2 2 2" xfId="1434" xr:uid="{00000000-0005-0000-0000-0000B3030000}"/>
    <cellStyle name="Comma 15 2 3 2 2 2 2" xfId="5324" xr:uid="{00000000-0005-0000-0000-0000B4030000}"/>
    <cellStyle name="Comma 15 2 3 2 2 3" xfId="4901" xr:uid="{00000000-0005-0000-0000-0000B5030000}"/>
    <cellStyle name="Comma 15 2 3 2 3" xfId="1435" xr:uid="{00000000-0005-0000-0000-0000B6030000}"/>
    <cellStyle name="Comma 15 2 3 2 3 2" xfId="5225" xr:uid="{00000000-0005-0000-0000-0000B7030000}"/>
    <cellStyle name="Comma 15 2 3 2 4" xfId="4799" xr:uid="{00000000-0005-0000-0000-0000B8030000}"/>
    <cellStyle name="Comma 15 2 3 3" xfId="1436" xr:uid="{00000000-0005-0000-0000-0000B9030000}"/>
    <cellStyle name="Comma 15 2 3 3 2" xfId="1437" xr:uid="{00000000-0005-0000-0000-0000BA030000}"/>
    <cellStyle name="Comma 15 2 3 3 2 2" xfId="5323" xr:uid="{00000000-0005-0000-0000-0000BB030000}"/>
    <cellStyle name="Comma 15 2 3 3 3" xfId="4900" xr:uid="{00000000-0005-0000-0000-0000BC030000}"/>
    <cellStyle name="Comma 15 2 3 4" xfId="1438" xr:uid="{00000000-0005-0000-0000-0000BD030000}"/>
    <cellStyle name="Comma 15 2 3 4 2" xfId="5185" xr:uid="{00000000-0005-0000-0000-0000BE030000}"/>
    <cellStyle name="Comma 15 2 3 5" xfId="4756" xr:uid="{00000000-0005-0000-0000-0000BF030000}"/>
    <cellStyle name="Comma 15 2 4" xfId="1439" xr:uid="{00000000-0005-0000-0000-0000C0030000}"/>
    <cellStyle name="Comma 15 2 4 2" xfId="1440" xr:uid="{00000000-0005-0000-0000-0000C1030000}"/>
    <cellStyle name="Comma 15 2 4 2 2" xfId="1441" xr:uid="{00000000-0005-0000-0000-0000C2030000}"/>
    <cellStyle name="Comma 15 2 4 2 2 2" xfId="5325" xr:uid="{00000000-0005-0000-0000-0000C3030000}"/>
    <cellStyle name="Comma 15 2 4 2 3" xfId="4902" xr:uid="{00000000-0005-0000-0000-0000C4030000}"/>
    <cellStyle name="Comma 15 2 4 3" xfId="1442" xr:uid="{00000000-0005-0000-0000-0000C5030000}"/>
    <cellStyle name="Comma 15 2 4 3 2" xfId="5247" xr:uid="{00000000-0005-0000-0000-0000C6030000}"/>
    <cellStyle name="Comma 15 2 4 4" xfId="4821" xr:uid="{00000000-0005-0000-0000-0000C7030000}"/>
    <cellStyle name="Comma 15 2 5" xfId="1443" xr:uid="{00000000-0005-0000-0000-0000C8030000}"/>
    <cellStyle name="Comma 15 2 5 2" xfId="1444" xr:uid="{00000000-0005-0000-0000-0000C9030000}"/>
    <cellStyle name="Comma 15 2 5 2 2" xfId="1445" xr:uid="{00000000-0005-0000-0000-0000CA030000}"/>
    <cellStyle name="Comma 15 2 5 2 2 2" xfId="5326" xr:uid="{00000000-0005-0000-0000-0000CB030000}"/>
    <cellStyle name="Comma 15 2 5 2 3" xfId="4903" xr:uid="{00000000-0005-0000-0000-0000CC030000}"/>
    <cellStyle name="Comma 15 2 5 3" xfId="1446" xr:uid="{00000000-0005-0000-0000-0000CD030000}"/>
    <cellStyle name="Comma 15 2 5 3 2" xfId="5210" xr:uid="{00000000-0005-0000-0000-0000CE030000}"/>
    <cellStyle name="Comma 15 2 5 4" xfId="4784" xr:uid="{00000000-0005-0000-0000-0000CF030000}"/>
    <cellStyle name="Comma 15 2 6" xfId="1447" xr:uid="{00000000-0005-0000-0000-0000D0030000}"/>
    <cellStyle name="Comma 15 2 6 2" xfId="1448" xr:uid="{00000000-0005-0000-0000-0000D1030000}"/>
    <cellStyle name="Comma 15 2 6 2 2" xfId="1449" xr:uid="{00000000-0005-0000-0000-0000D2030000}"/>
    <cellStyle name="Comma 15 2 6 2 2 2" xfId="5327" xr:uid="{00000000-0005-0000-0000-0000D3030000}"/>
    <cellStyle name="Comma 15 2 6 2 3" xfId="4904" xr:uid="{00000000-0005-0000-0000-0000D4030000}"/>
    <cellStyle name="Comma 15 2 6 3" xfId="1450" xr:uid="{00000000-0005-0000-0000-0000D5030000}"/>
    <cellStyle name="Comma 15 2 6 3 2" xfId="5283" xr:uid="{00000000-0005-0000-0000-0000D6030000}"/>
    <cellStyle name="Comma 15 2 6 4" xfId="4860" xr:uid="{00000000-0005-0000-0000-0000D7030000}"/>
    <cellStyle name="Comma 15 2 7" xfId="1451" xr:uid="{00000000-0005-0000-0000-0000D8030000}"/>
    <cellStyle name="Comma 15 2 7 2" xfId="1452" xr:uid="{00000000-0005-0000-0000-0000D9030000}"/>
    <cellStyle name="Comma 15 2 7 2 2" xfId="1453" xr:uid="{00000000-0005-0000-0000-0000DA030000}"/>
    <cellStyle name="Comma 15 2 7 2 2 2" xfId="5328" xr:uid="{00000000-0005-0000-0000-0000DB030000}"/>
    <cellStyle name="Comma 15 2 7 2 3" xfId="4905" xr:uid="{00000000-0005-0000-0000-0000DC030000}"/>
    <cellStyle name="Comma 15 2 7 3" xfId="1454" xr:uid="{00000000-0005-0000-0000-0000DD030000}"/>
    <cellStyle name="Comma 15 2 7 3 2" xfId="5170" xr:uid="{00000000-0005-0000-0000-0000DE030000}"/>
    <cellStyle name="Comma 15 2 7 4" xfId="4741" xr:uid="{00000000-0005-0000-0000-0000DF030000}"/>
    <cellStyle name="Comma 15 2 8" xfId="1455" xr:uid="{00000000-0005-0000-0000-0000E0030000}"/>
    <cellStyle name="Comma 15 2 8 2" xfId="1456" xr:uid="{00000000-0005-0000-0000-0000E1030000}"/>
    <cellStyle name="Comma 15 2 8 2 2" xfId="5315" xr:uid="{00000000-0005-0000-0000-0000E2030000}"/>
    <cellStyle name="Comma 15 2 8 3" xfId="4892" xr:uid="{00000000-0005-0000-0000-0000E3030000}"/>
    <cellStyle name="Comma 15 2 9" xfId="1457" xr:uid="{00000000-0005-0000-0000-0000E4030000}"/>
    <cellStyle name="Comma 15 3" xfId="1458" xr:uid="{00000000-0005-0000-0000-0000E5030000}"/>
    <cellStyle name="Comma 15 3 10" xfId="4699" xr:uid="{00000000-0005-0000-0000-0000E6030000}"/>
    <cellStyle name="Comma 15 3 2" xfId="1459" xr:uid="{00000000-0005-0000-0000-0000E7030000}"/>
    <cellStyle name="Comma 15 3 2 2" xfId="1460" xr:uid="{00000000-0005-0000-0000-0000E8030000}"/>
    <cellStyle name="Comma 15 3 2 2 2" xfId="1461" xr:uid="{00000000-0005-0000-0000-0000E9030000}"/>
    <cellStyle name="Comma 15 3 2 2 2 2" xfId="1462" xr:uid="{00000000-0005-0000-0000-0000EA030000}"/>
    <cellStyle name="Comma 15 3 2 2 2 2 2" xfId="5331" xr:uid="{00000000-0005-0000-0000-0000EB030000}"/>
    <cellStyle name="Comma 15 3 2 2 2 3" xfId="4908" xr:uid="{00000000-0005-0000-0000-0000EC030000}"/>
    <cellStyle name="Comma 15 3 2 2 3" xfId="1463" xr:uid="{00000000-0005-0000-0000-0000ED030000}"/>
    <cellStyle name="Comma 15 3 2 2 3 2" xfId="5227" xr:uid="{00000000-0005-0000-0000-0000EE030000}"/>
    <cellStyle name="Comma 15 3 2 2 4" xfId="4801" xr:uid="{00000000-0005-0000-0000-0000EF030000}"/>
    <cellStyle name="Comma 15 3 2 3" xfId="1464" xr:uid="{00000000-0005-0000-0000-0000F0030000}"/>
    <cellStyle name="Comma 15 3 2 3 2" xfId="1465" xr:uid="{00000000-0005-0000-0000-0000F1030000}"/>
    <cellStyle name="Comma 15 3 2 3 2 2" xfId="5330" xr:uid="{00000000-0005-0000-0000-0000F2030000}"/>
    <cellStyle name="Comma 15 3 2 3 3" xfId="4907" xr:uid="{00000000-0005-0000-0000-0000F3030000}"/>
    <cellStyle name="Comma 15 3 2 4" xfId="1466" xr:uid="{00000000-0005-0000-0000-0000F4030000}"/>
    <cellStyle name="Comma 15 3 2 4 2" xfId="5187" xr:uid="{00000000-0005-0000-0000-0000F5030000}"/>
    <cellStyle name="Comma 15 3 2 5" xfId="4388" xr:uid="{00000000-0005-0000-0000-0000F6030000}"/>
    <cellStyle name="Comma 15 3 2 6" xfId="4758" xr:uid="{00000000-0005-0000-0000-0000F7030000}"/>
    <cellStyle name="Comma 15 3 3" xfId="1467" xr:uid="{00000000-0005-0000-0000-0000F8030000}"/>
    <cellStyle name="Comma 15 3 3 2" xfId="1468" xr:uid="{00000000-0005-0000-0000-0000F9030000}"/>
    <cellStyle name="Comma 15 3 3 2 2" xfId="1469" xr:uid="{00000000-0005-0000-0000-0000FA030000}"/>
    <cellStyle name="Comma 15 3 3 2 2 2" xfId="5332" xr:uid="{00000000-0005-0000-0000-0000FB030000}"/>
    <cellStyle name="Comma 15 3 3 2 3" xfId="4909" xr:uid="{00000000-0005-0000-0000-0000FC030000}"/>
    <cellStyle name="Comma 15 3 3 3" xfId="1470" xr:uid="{00000000-0005-0000-0000-0000FD030000}"/>
    <cellStyle name="Comma 15 3 3 3 2" xfId="5249" xr:uid="{00000000-0005-0000-0000-0000FE030000}"/>
    <cellStyle name="Comma 15 3 3 4" xfId="4823" xr:uid="{00000000-0005-0000-0000-0000FF030000}"/>
    <cellStyle name="Comma 15 3 4" xfId="1471" xr:uid="{00000000-0005-0000-0000-000000040000}"/>
    <cellStyle name="Comma 15 3 4 2" xfId="1472" xr:uid="{00000000-0005-0000-0000-000001040000}"/>
    <cellStyle name="Comma 15 3 4 2 2" xfId="1473" xr:uid="{00000000-0005-0000-0000-000002040000}"/>
    <cellStyle name="Comma 15 3 4 2 2 2" xfId="5333" xr:uid="{00000000-0005-0000-0000-000003040000}"/>
    <cellStyle name="Comma 15 3 4 2 3" xfId="4910" xr:uid="{00000000-0005-0000-0000-000004040000}"/>
    <cellStyle name="Comma 15 3 4 3" xfId="1474" xr:uid="{00000000-0005-0000-0000-000005040000}"/>
    <cellStyle name="Comma 15 3 4 3 2" xfId="5212" xr:uid="{00000000-0005-0000-0000-000006040000}"/>
    <cellStyle name="Comma 15 3 4 4" xfId="4786" xr:uid="{00000000-0005-0000-0000-000007040000}"/>
    <cellStyle name="Comma 15 3 5" xfId="1475" xr:uid="{00000000-0005-0000-0000-000008040000}"/>
    <cellStyle name="Comma 15 3 5 2" xfId="1476" xr:uid="{00000000-0005-0000-0000-000009040000}"/>
    <cellStyle name="Comma 15 3 5 2 2" xfId="1477" xr:uid="{00000000-0005-0000-0000-00000A040000}"/>
    <cellStyle name="Comma 15 3 5 2 2 2" xfId="5334" xr:uid="{00000000-0005-0000-0000-00000B040000}"/>
    <cellStyle name="Comma 15 3 5 2 3" xfId="4911" xr:uid="{00000000-0005-0000-0000-00000C040000}"/>
    <cellStyle name="Comma 15 3 5 3" xfId="1478" xr:uid="{00000000-0005-0000-0000-00000D040000}"/>
    <cellStyle name="Comma 15 3 5 3 2" xfId="5285" xr:uid="{00000000-0005-0000-0000-00000E040000}"/>
    <cellStyle name="Comma 15 3 5 4" xfId="4862" xr:uid="{00000000-0005-0000-0000-00000F040000}"/>
    <cellStyle name="Comma 15 3 6" xfId="1479" xr:uid="{00000000-0005-0000-0000-000010040000}"/>
    <cellStyle name="Comma 15 3 6 2" xfId="1480" xr:uid="{00000000-0005-0000-0000-000011040000}"/>
    <cellStyle name="Comma 15 3 6 2 2" xfId="1481" xr:uid="{00000000-0005-0000-0000-000012040000}"/>
    <cellStyle name="Comma 15 3 6 2 2 2" xfId="5335" xr:uid="{00000000-0005-0000-0000-000013040000}"/>
    <cellStyle name="Comma 15 3 6 2 3" xfId="4912" xr:uid="{00000000-0005-0000-0000-000014040000}"/>
    <cellStyle name="Comma 15 3 6 3" xfId="1482" xr:uid="{00000000-0005-0000-0000-000015040000}"/>
    <cellStyle name="Comma 15 3 6 3 2" xfId="5172" xr:uid="{00000000-0005-0000-0000-000016040000}"/>
    <cellStyle name="Comma 15 3 6 4" xfId="4743" xr:uid="{00000000-0005-0000-0000-000017040000}"/>
    <cellStyle name="Comma 15 3 7" xfId="1483" xr:uid="{00000000-0005-0000-0000-000018040000}"/>
    <cellStyle name="Comma 15 3 7 2" xfId="1484" xr:uid="{00000000-0005-0000-0000-000019040000}"/>
    <cellStyle name="Comma 15 3 7 2 2" xfId="5329" xr:uid="{00000000-0005-0000-0000-00001A040000}"/>
    <cellStyle name="Comma 15 3 7 3" xfId="4906" xr:uid="{00000000-0005-0000-0000-00001B040000}"/>
    <cellStyle name="Comma 15 3 8" xfId="1485" xr:uid="{00000000-0005-0000-0000-00001C040000}"/>
    <cellStyle name="Comma 15 3 8 2" xfId="5147" xr:uid="{00000000-0005-0000-0000-00001D040000}"/>
    <cellStyle name="Comma 15 3 9" xfId="3788" xr:uid="{00000000-0005-0000-0000-00001E040000}"/>
    <cellStyle name="Comma 15 4" xfId="1486" xr:uid="{00000000-0005-0000-0000-00001F040000}"/>
    <cellStyle name="Comma 15 4 2" xfId="1487" xr:uid="{00000000-0005-0000-0000-000020040000}"/>
    <cellStyle name="Comma 15 4 2 2" xfId="1488" xr:uid="{00000000-0005-0000-0000-000021040000}"/>
    <cellStyle name="Comma 15 4 2 2 2" xfId="1489" xr:uid="{00000000-0005-0000-0000-000022040000}"/>
    <cellStyle name="Comma 15 4 2 2 2 2" xfId="5337" xr:uid="{00000000-0005-0000-0000-000023040000}"/>
    <cellStyle name="Comma 15 4 2 2 3" xfId="4914" xr:uid="{00000000-0005-0000-0000-000024040000}"/>
    <cellStyle name="Comma 15 4 2 3" xfId="1490" xr:uid="{00000000-0005-0000-0000-000025040000}"/>
    <cellStyle name="Comma 15 4 2 3 2" xfId="5224" xr:uid="{00000000-0005-0000-0000-000026040000}"/>
    <cellStyle name="Comma 15 4 2 4" xfId="4798" xr:uid="{00000000-0005-0000-0000-000027040000}"/>
    <cellStyle name="Comma 15 4 3" xfId="1491" xr:uid="{00000000-0005-0000-0000-000028040000}"/>
    <cellStyle name="Comma 15 4 3 2" xfId="1492" xr:uid="{00000000-0005-0000-0000-000029040000}"/>
    <cellStyle name="Comma 15 4 3 2 2" xfId="5336" xr:uid="{00000000-0005-0000-0000-00002A040000}"/>
    <cellStyle name="Comma 15 4 3 3" xfId="4913" xr:uid="{00000000-0005-0000-0000-00002B040000}"/>
    <cellStyle name="Comma 15 4 4" xfId="1493" xr:uid="{00000000-0005-0000-0000-00002C040000}"/>
    <cellStyle name="Comma 15 4 4 2" xfId="5184" xr:uid="{00000000-0005-0000-0000-00002D040000}"/>
    <cellStyle name="Comma 15 4 5" xfId="4755" xr:uid="{00000000-0005-0000-0000-00002E040000}"/>
    <cellStyle name="Comma 15 5" xfId="1494" xr:uid="{00000000-0005-0000-0000-00002F040000}"/>
    <cellStyle name="Comma 15 5 2" xfId="1495" xr:uid="{00000000-0005-0000-0000-000030040000}"/>
    <cellStyle name="Comma 15 5 2 2" xfId="1496" xr:uid="{00000000-0005-0000-0000-000031040000}"/>
    <cellStyle name="Comma 15 5 2 2 2" xfId="5338" xr:uid="{00000000-0005-0000-0000-000032040000}"/>
    <cellStyle name="Comma 15 5 2 3" xfId="4915" xr:uid="{00000000-0005-0000-0000-000033040000}"/>
    <cellStyle name="Comma 15 5 3" xfId="1497" xr:uid="{00000000-0005-0000-0000-000034040000}"/>
    <cellStyle name="Comma 15 5 3 2" xfId="5246" xr:uid="{00000000-0005-0000-0000-000035040000}"/>
    <cellStyle name="Comma 15 5 4" xfId="4820" xr:uid="{00000000-0005-0000-0000-000036040000}"/>
    <cellStyle name="Comma 15 6" xfId="1498" xr:uid="{00000000-0005-0000-0000-000037040000}"/>
    <cellStyle name="Comma 15 6 2" xfId="1499" xr:uid="{00000000-0005-0000-0000-000038040000}"/>
    <cellStyle name="Comma 15 6 2 2" xfId="1500" xr:uid="{00000000-0005-0000-0000-000039040000}"/>
    <cellStyle name="Comma 15 6 2 2 2" xfId="5339" xr:uid="{00000000-0005-0000-0000-00003A040000}"/>
    <cellStyle name="Comma 15 6 2 3" xfId="4916" xr:uid="{00000000-0005-0000-0000-00003B040000}"/>
    <cellStyle name="Comma 15 6 3" xfId="1501" xr:uid="{00000000-0005-0000-0000-00003C040000}"/>
    <cellStyle name="Comma 15 6 3 2" xfId="5209" xr:uid="{00000000-0005-0000-0000-00003D040000}"/>
    <cellStyle name="Comma 15 6 4" xfId="4783" xr:uid="{00000000-0005-0000-0000-00003E040000}"/>
    <cellStyle name="Comma 15 7" xfId="1502" xr:uid="{00000000-0005-0000-0000-00003F040000}"/>
    <cellStyle name="Comma 15 7 2" xfId="1503" xr:uid="{00000000-0005-0000-0000-000040040000}"/>
    <cellStyle name="Comma 15 7 2 2" xfId="1504" xr:uid="{00000000-0005-0000-0000-000041040000}"/>
    <cellStyle name="Comma 15 7 2 2 2" xfId="5340" xr:uid="{00000000-0005-0000-0000-000042040000}"/>
    <cellStyle name="Comma 15 7 2 3" xfId="4917" xr:uid="{00000000-0005-0000-0000-000043040000}"/>
    <cellStyle name="Comma 15 7 3" xfId="1505" xr:uid="{00000000-0005-0000-0000-000044040000}"/>
    <cellStyle name="Comma 15 7 3 2" xfId="5282" xr:uid="{00000000-0005-0000-0000-000045040000}"/>
    <cellStyle name="Comma 15 7 4" xfId="4859" xr:uid="{00000000-0005-0000-0000-000046040000}"/>
    <cellStyle name="Comma 15 8" xfId="1506" xr:uid="{00000000-0005-0000-0000-000047040000}"/>
    <cellStyle name="Comma 15 8 2" xfId="1507" xr:uid="{00000000-0005-0000-0000-000048040000}"/>
    <cellStyle name="Comma 15 8 2 2" xfId="1508" xr:uid="{00000000-0005-0000-0000-000049040000}"/>
    <cellStyle name="Comma 15 8 2 2 2" xfId="5341" xr:uid="{00000000-0005-0000-0000-00004A040000}"/>
    <cellStyle name="Comma 15 8 2 3" xfId="4918" xr:uid="{00000000-0005-0000-0000-00004B040000}"/>
    <cellStyle name="Comma 15 8 3" xfId="1509" xr:uid="{00000000-0005-0000-0000-00004C040000}"/>
    <cellStyle name="Comma 15 8 3 2" xfId="5169" xr:uid="{00000000-0005-0000-0000-00004D040000}"/>
    <cellStyle name="Comma 15 8 4" xfId="4740" xr:uid="{00000000-0005-0000-0000-00004E040000}"/>
    <cellStyle name="Comma 15 9" xfId="1510" xr:uid="{00000000-0005-0000-0000-00004F040000}"/>
    <cellStyle name="Comma 15 9 2" xfId="1511" xr:uid="{00000000-0005-0000-0000-000050040000}"/>
    <cellStyle name="Comma 15 9 2 2" xfId="5314" xr:uid="{00000000-0005-0000-0000-000051040000}"/>
    <cellStyle name="Comma 15 9 3" xfId="4891" xr:uid="{00000000-0005-0000-0000-000052040000}"/>
    <cellStyle name="Comma 16" xfId="1512" xr:uid="{00000000-0005-0000-0000-000053040000}"/>
    <cellStyle name="Comma 16 2" xfId="1513" xr:uid="{00000000-0005-0000-0000-000054040000}"/>
    <cellStyle name="Comma 16 3" xfId="1514" xr:uid="{00000000-0005-0000-0000-000055040000}"/>
    <cellStyle name="Comma 16 3 2" xfId="4390" xr:uid="{00000000-0005-0000-0000-000056040000}"/>
    <cellStyle name="Comma 16 4" xfId="1515" xr:uid="{00000000-0005-0000-0000-000057040000}"/>
    <cellStyle name="Comma 17" xfId="1516" xr:uid="{00000000-0005-0000-0000-000058040000}"/>
    <cellStyle name="Comma 17 2" xfId="1517" xr:uid="{00000000-0005-0000-0000-000059040000}"/>
    <cellStyle name="Comma 18" xfId="1518" xr:uid="{00000000-0005-0000-0000-00005A040000}"/>
    <cellStyle name="Comma 18 2" xfId="1519" xr:uid="{00000000-0005-0000-0000-00005B040000}"/>
    <cellStyle name="Comma 18 2 2" xfId="1520" xr:uid="{00000000-0005-0000-0000-00005C040000}"/>
    <cellStyle name="Comma 18 2 2 2" xfId="1521" xr:uid="{00000000-0005-0000-0000-00005D040000}"/>
    <cellStyle name="Comma 18 2 2 2 2" xfId="5343" xr:uid="{00000000-0005-0000-0000-00005E040000}"/>
    <cellStyle name="Comma 18 2 2 3" xfId="4920" xr:uid="{00000000-0005-0000-0000-00005F040000}"/>
    <cellStyle name="Comma 18 2 3" xfId="1522" xr:uid="{00000000-0005-0000-0000-000060040000}"/>
    <cellStyle name="Comma 18 2 3 2" xfId="5275" xr:uid="{00000000-0005-0000-0000-000061040000}"/>
    <cellStyle name="Comma 18 2 4" xfId="4391" xr:uid="{00000000-0005-0000-0000-000062040000}"/>
    <cellStyle name="Comma 18 2 5" xfId="4852" xr:uid="{00000000-0005-0000-0000-000063040000}"/>
    <cellStyle name="Comma 18 3" xfId="1523" xr:uid="{00000000-0005-0000-0000-000064040000}"/>
    <cellStyle name="Comma 18 3 2" xfId="1524" xr:uid="{00000000-0005-0000-0000-000065040000}"/>
    <cellStyle name="Comma 18 3 2 2" xfId="1525" xr:uid="{00000000-0005-0000-0000-000066040000}"/>
    <cellStyle name="Comma 18 3 2 2 2" xfId="5344" xr:uid="{00000000-0005-0000-0000-000067040000}"/>
    <cellStyle name="Comma 18 3 2 3" xfId="4921" xr:uid="{00000000-0005-0000-0000-000068040000}"/>
    <cellStyle name="Comma 18 3 3" xfId="1526" xr:uid="{00000000-0005-0000-0000-000069040000}"/>
    <cellStyle name="Comma 18 3 3 2" xfId="5244" xr:uid="{00000000-0005-0000-0000-00006A040000}"/>
    <cellStyle name="Comma 18 3 4" xfId="4818" xr:uid="{00000000-0005-0000-0000-00006B040000}"/>
    <cellStyle name="Comma 18 4" xfId="1527" xr:uid="{00000000-0005-0000-0000-00006C040000}"/>
    <cellStyle name="Comma 18 4 2" xfId="1528" xr:uid="{00000000-0005-0000-0000-00006D040000}"/>
    <cellStyle name="Comma 18 4 2 2" xfId="5342" xr:uid="{00000000-0005-0000-0000-00006E040000}"/>
    <cellStyle name="Comma 18 4 3" xfId="4919" xr:uid="{00000000-0005-0000-0000-00006F040000}"/>
    <cellStyle name="Comma 18 5" xfId="1529" xr:uid="{00000000-0005-0000-0000-000070040000}"/>
    <cellStyle name="Comma 18 6" xfId="1530" xr:uid="{00000000-0005-0000-0000-000071040000}"/>
    <cellStyle name="Comma 18 6 2" xfId="5137" xr:uid="{00000000-0005-0000-0000-000072040000}"/>
    <cellStyle name="Comma 18 7" xfId="4686" xr:uid="{00000000-0005-0000-0000-000073040000}"/>
    <cellStyle name="Comma 19" xfId="1531" xr:uid="{00000000-0005-0000-0000-000074040000}"/>
    <cellStyle name="Comma 19 2" xfId="1532" xr:uid="{00000000-0005-0000-0000-000075040000}"/>
    <cellStyle name="Comma 19 3" xfId="1533" xr:uid="{00000000-0005-0000-0000-000076040000}"/>
    <cellStyle name="Comma 19 3 2" xfId="5483" xr:uid="{00000000-0005-0000-0000-000077040000}"/>
    <cellStyle name="Comma 2" xfId="2" xr:uid="{00000000-0005-0000-0000-000078040000}"/>
    <cellStyle name="Comma 2 2" xfId="3" xr:uid="{00000000-0005-0000-0000-000079040000}"/>
    <cellStyle name="Comma 2 2 2" xfId="213" xr:uid="{00000000-0005-0000-0000-00007A040000}"/>
    <cellStyle name="Comma 2 2 2 2" xfId="429" xr:uid="{00000000-0005-0000-0000-00007B040000}"/>
    <cellStyle name="Comma 2 2 2 2 2" xfId="493" xr:uid="{00000000-0005-0000-0000-00007C040000}"/>
    <cellStyle name="Comma 2 2 2 2 2 2" xfId="747" xr:uid="{00000000-0005-0000-0000-00007D040000}"/>
    <cellStyle name="Comma 2 2 2 2 2 3" xfId="5109" xr:uid="{00000000-0005-0000-0000-00007E040000}"/>
    <cellStyle name="Comma 2 2 2 2 3" xfId="683" xr:uid="{00000000-0005-0000-0000-00007F040000}"/>
    <cellStyle name="Comma 2 2 2 2 4" xfId="3627" xr:uid="{00000000-0005-0000-0000-000080040000}"/>
    <cellStyle name="Comma 2 2 2 2 5" xfId="4700" xr:uid="{00000000-0005-0000-0000-000081040000}"/>
    <cellStyle name="Comma 2 2 2 3" xfId="492" xr:uid="{00000000-0005-0000-0000-000082040000}"/>
    <cellStyle name="Comma 2 2 2 3 2" xfId="746" xr:uid="{00000000-0005-0000-0000-000083040000}"/>
    <cellStyle name="Comma 2 2 2 3 2 2" xfId="5125" xr:uid="{00000000-0005-0000-0000-000084040000}"/>
    <cellStyle name="Comma 2 2 2 3 3" xfId="3628" xr:uid="{00000000-0005-0000-0000-000085040000}"/>
    <cellStyle name="Comma 2 2 2 3 4" xfId="4824" xr:uid="{00000000-0005-0000-0000-000086040000}"/>
    <cellStyle name="Comma 2 2 2 4" xfId="621" xr:uid="{00000000-0005-0000-0000-000087040000}"/>
    <cellStyle name="Comma 2 2 2 4 2" xfId="5118" xr:uid="{00000000-0005-0000-0000-000088040000}"/>
    <cellStyle name="Comma 2 2 2 5" xfId="3626" xr:uid="{00000000-0005-0000-0000-000089040000}"/>
    <cellStyle name="Comma 2 2 2 6" xfId="4682" xr:uid="{00000000-0005-0000-0000-00008A040000}"/>
    <cellStyle name="Comma 2 2 3" xfId="214" xr:uid="{00000000-0005-0000-0000-00008B040000}"/>
    <cellStyle name="Comma 2 2 3 2" xfId="430" xr:uid="{00000000-0005-0000-0000-00008C040000}"/>
    <cellStyle name="Comma 2 2 3 2 2" xfId="495" xr:uid="{00000000-0005-0000-0000-00008D040000}"/>
    <cellStyle name="Comma 2 2 3 2 2 2" xfId="749" xr:uid="{00000000-0005-0000-0000-00008E040000}"/>
    <cellStyle name="Comma 2 2 3 2 3" xfId="684" xr:uid="{00000000-0005-0000-0000-00008F040000}"/>
    <cellStyle name="Comma 2 2 3 3" xfId="494" xr:uid="{00000000-0005-0000-0000-000090040000}"/>
    <cellStyle name="Comma 2 2 3 3 2" xfId="748" xr:uid="{00000000-0005-0000-0000-000091040000}"/>
    <cellStyle name="Comma 2 2 3 4" xfId="622" xr:uid="{00000000-0005-0000-0000-000092040000}"/>
    <cellStyle name="Comma 2 2 3 5" xfId="3629" xr:uid="{00000000-0005-0000-0000-000093040000}"/>
    <cellStyle name="Comma 2 2 3 6" xfId="4701" xr:uid="{00000000-0005-0000-0000-000094040000}"/>
    <cellStyle name="Comma 2 2 4" xfId="392" xr:uid="{00000000-0005-0000-0000-000095040000}"/>
    <cellStyle name="Comma 2 2 4 2" xfId="1534" xr:uid="{00000000-0005-0000-0000-000096040000}"/>
    <cellStyle name="Comma 2 2 5" xfId="3625" xr:uid="{00000000-0005-0000-0000-000097040000}"/>
    <cellStyle name="Comma 2 2_Augmentation" xfId="1535" xr:uid="{00000000-0005-0000-0000-000098040000}"/>
    <cellStyle name="Comma 2 3" xfId="69" xr:uid="{00000000-0005-0000-0000-000099040000}"/>
    <cellStyle name="Comma 2 3 2" xfId="1536" xr:uid="{00000000-0005-0000-0000-00009A040000}"/>
    <cellStyle name="Comma 2 3 2 2" xfId="3630" xr:uid="{00000000-0005-0000-0000-00009B040000}"/>
    <cellStyle name="Comma 2 3 3" xfId="1537" xr:uid="{00000000-0005-0000-0000-00009C040000}"/>
    <cellStyle name="Comma 2 3 3 2" xfId="1538" xr:uid="{00000000-0005-0000-0000-00009D040000}"/>
    <cellStyle name="Comma 2 3 3 2 2" xfId="1539" xr:uid="{00000000-0005-0000-0000-00009E040000}"/>
    <cellStyle name="Comma 2 3 3 2 2 2" xfId="1540" xr:uid="{00000000-0005-0000-0000-00009F040000}"/>
    <cellStyle name="Comma 2 3 3 2 2 2 2" xfId="5346" xr:uid="{00000000-0005-0000-0000-0000A0040000}"/>
    <cellStyle name="Comma 2 3 3 2 2 3" xfId="4923" xr:uid="{00000000-0005-0000-0000-0000A1040000}"/>
    <cellStyle name="Comma 2 3 3 2 3" xfId="1541" xr:uid="{00000000-0005-0000-0000-0000A2040000}"/>
    <cellStyle name="Comma 2 3 3 2 3 2" xfId="5228" xr:uid="{00000000-0005-0000-0000-0000A3040000}"/>
    <cellStyle name="Comma 2 3 3 2 4" xfId="4802" xr:uid="{00000000-0005-0000-0000-0000A4040000}"/>
    <cellStyle name="Comma 2 3 3 3" xfId="1542" xr:uid="{00000000-0005-0000-0000-0000A5040000}"/>
    <cellStyle name="Comma 2 3 3 3 2" xfId="1543" xr:uid="{00000000-0005-0000-0000-0000A6040000}"/>
    <cellStyle name="Comma 2 3 3 3 2 2" xfId="5345" xr:uid="{00000000-0005-0000-0000-0000A7040000}"/>
    <cellStyle name="Comma 2 3 3 3 3" xfId="4922" xr:uid="{00000000-0005-0000-0000-0000A8040000}"/>
    <cellStyle name="Comma 2 3 3 4" xfId="1544" xr:uid="{00000000-0005-0000-0000-0000A9040000}"/>
    <cellStyle name="Comma 2 3 3 4 2" xfId="5188" xr:uid="{00000000-0005-0000-0000-0000AA040000}"/>
    <cellStyle name="Comma 2 3 3 5" xfId="4759" xr:uid="{00000000-0005-0000-0000-0000AB040000}"/>
    <cellStyle name="Comma 2 3 4" xfId="1545" xr:uid="{00000000-0005-0000-0000-0000AC040000}"/>
    <cellStyle name="Comma 2 3 4 2" xfId="1546" xr:uid="{00000000-0005-0000-0000-0000AD040000}"/>
    <cellStyle name="Comma 2 3 4 2 2" xfId="1547" xr:uid="{00000000-0005-0000-0000-0000AE040000}"/>
    <cellStyle name="Comma 2 3 4 2 2 2" xfId="5347" xr:uid="{00000000-0005-0000-0000-0000AF040000}"/>
    <cellStyle name="Comma 2 3 4 2 3" xfId="4924" xr:uid="{00000000-0005-0000-0000-0000B0040000}"/>
    <cellStyle name="Comma 2 3 4 3" xfId="1548" xr:uid="{00000000-0005-0000-0000-0000B1040000}"/>
    <cellStyle name="Comma 2 3 4 3 2" xfId="5203" xr:uid="{00000000-0005-0000-0000-0000B2040000}"/>
    <cellStyle name="Comma 2 3 4 4" xfId="4777" xr:uid="{00000000-0005-0000-0000-0000B3040000}"/>
    <cellStyle name="Comma 2 3 5" xfId="1549" xr:uid="{00000000-0005-0000-0000-0000B4040000}"/>
    <cellStyle name="Comma 2 3 5 2" xfId="1550" xr:uid="{00000000-0005-0000-0000-0000B5040000}"/>
    <cellStyle name="Comma 2 3 5 2 2" xfId="1551" xr:uid="{00000000-0005-0000-0000-0000B6040000}"/>
    <cellStyle name="Comma 2 3 5 2 2 2" xfId="5348" xr:uid="{00000000-0005-0000-0000-0000B7040000}"/>
    <cellStyle name="Comma 2 3 5 2 3" xfId="4925" xr:uid="{00000000-0005-0000-0000-0000B8040000}"/>
    <cellStyle name="Comma 2 3 5 3" xfId="1552" xr:uid="{00000000-0005-0000-0000-0000B9040000}"/>
    <cellStyle name="Comma 2 3 5 3 2" xfId="5163" xr:uid="{00000000-0005-0000-0000-0000BA040000}"/>
    <cellStyle name="Comma 2 3 5 4" xfId="4732" xr:uid="{00000000-0005-0000-0000-0000BB040000}"/>
    <cellStyle name="Comma 2 3 6" xfId="1553" xr:uid="{00000000-0005-0000-0000-0000BC040000}"/>
    <cellStyle name="Comma 2 3 7" xfId="5509" xr:uid="{00000000-0005-0000-0000-0000BD040000}"/>
    <cellStyle name="Comma 2 3 8" xfId="5521" xr:uid="{00000000-0005-0000-0000-0000BE040000}"/>
    <cellStyle name="Comma 2 4" xfId="215" xr:uid="{00000000-0005-0000-0000-0000BF040000}"/>
    <cellStyle name="Comma 2 4 2" xfId="1554" xr:uid="{00000000-0005-0000-0000-0000C0040000}"/>
    <cellStyle name="Comma 2 4 2 2" xfId="3900" xr:uid="{00000000-0005-0000-0000-0000C1040000}"/>
    <cellStyle name="Comma 2 4 3" xfId="1555" xr:uid="{00000000-0005-0000-0000-0000C2040000}"/>
    <cellStyle name="Comma 2 4 3 2" xfId="3901" xr:uid="{00000000-0005-0000-0000-0000C3040000}"/>
    <cellStyle name="Comma 2 4 4" xfId="3899" xr:uid="{00000000-0005-0000-0000-0000C4040000}"/>
    <cellStyle name="Comma 2 5" xfId="676" xr:uid="{00000000-0005-0000-0000-0000C5040000}"/>
    <cellStyle name="Comma 2 5 2" xfId="1556" xr:uid="{00000000-0005-0000-0000-0000C6040000}"/>
    <cellStyle name="Comma 2 5 3" xfId="4702" xr:uid="{00000000-0005-0000-0000-0000C7040000}"/>
    <cellStyle name="Comma 2 6" xfId="1557" xr:uid="{00000000-0005-0000-0000-0000C8040000}"/>
    <cellStyle name="Comma 2 6 2" xfId="5531" xr:uid="{00000000-0005-0000-0000-0000C9040000}"/>
    <cellStyle name="Comma 2 7" xfId="3898" xr:uid="{00000000-0005-0000-0000-0000CA040000}"/>
    <cellStyle name="Comma 2 8" xfId="5566" xr:uid="{00000000-0005-0000-0000-0000CB040000}"/>
    <cellStyle name="Comma 2_BP-14 Preliminary Capital Forecast NonBudget System_5 2 13" xfId="1558" xr:uid="{00000000-0005-0000-0000-0000CC040000}"/>
    <cellStyle name="Comma 20" xfId="3883" xr:uid="{00000000-0005-0000-0000-0000CD040000}"/>
    <cellStyle name="Comma 21" xfId="4585" xr:uid="{00000000-0005-0000-0000-0000CE040000}"/>
    <cellStyle name="Comma 22" xfId="4588" xr:uid="{00000000-0005-0000-0000-0000CF040000}"/>
    <cellStyle name="Comma 23" xfId="3738" xr:uid="{00000000-0005-0000-0000-0000D0040000}"/>
    <cellStyle name="Comma 24" xfId="3659" xr:uid="{00000000-0005-0000-0000-0000D1040000}"/>
    <cellStyle name="Comma 25" xfId="5551" xr:uid="{00000000-0005-0000-0000-0000D2040000}"/>
    <cellStyle name="Comma 26" xfId="5554" xr:uid="{00000000-0005-0000-0000-0000D3040000}"/>
    <cellStyle name="Comma 27" xfId="5558" xr:uid="{00000000-0005-0000-0000-0000D4040000}"/>
    <cellStyle name="Comma 28" xfId="5568" xr:uid="{00000000-0005-0000-0000-0000D5040000}"/>
    <cellStyle name="Comma 29" xfId="5571" xr:uid="{00000000-0005-0000-0000-0000D6040000}"/>
    <cellStyle name="Comma 3" xfId="4" xr:uid="{00000000-0005-0000-0000-0000D7040000}"/>
    <cellStyle name="Comma 3 10" xfId="1559" xr:uid="{00000000-0005-0000-0000-0000D8040000}"/>
    <cellStyle name="Comma 3 11" xfId="1560" xr:uid="{00000000-0005-0000-0000-0000D9040000}"/>
    <cellStyle name="Comma 3 12" xfId="1561" xr:uid="{00000000-0005-0000-0000-0000DA040000}"/>
    <cellStyle name="Comma 3 12 2" xfId="1562" xr:uid="{00000000-0005-0000-0000-0000DB040000}"/>
    <cellStyle name="Comma 3 12 2 2" xfId="4393" xr:uid="{00000000-0005-0000-0000-0000DC040000}"/>
    <cellStyle name="Comma 3 12 3" xfId="3902" xr:uid="{00000000-0005-0000-0000-0000DD040000}"/>
    <cellStyle name="Comma 3 13" xfId="3631" xr:uid="{00000000-0005-0000-0000-0000DE040000}"/>
    <cellStyle name="Comma 3 14" xfId="4514" xr:uid="{00000000-0005-0000-0000-0000DF040000}"/>
    <cellStyle name="Comma 3 2" xfId="216" xr:uid="{00000000-0005-0000-0000-0000E0040000}"/>
    <cellStyle name="Comma 3 2 10" xfId="1563" xr:uid="{00000000-0005-0000-0000-0000E1040000}"/>
    <cellStyle name="Comma 3 2 10 2" xfId="4515" xr:uid="{00000000-0005-0000-0000-0000E2040000}"/>
    <cellStyle name="Comma 3 2 2" xfId="217" xr:uid="{00000000-0005-0000-0000-0000E3040000}"/>
    <cellStyle name="Comma 3 2 2 2" xfId="218" xr:uid="{00000000-0005-0000-0000-0000E4040000}"/>
    <cellStyle name="Comma 3 2 2 2 2" xfId="433" xr:uid="{00000000-0005-0000-0000-0000E5040000}"/>
    <cellStyle name="Comma 3 2 2 2 2 2" xfId="499" xr:uid="{00000000-0005-0000-0000-0000E6040000}"/>
    <cellStyle name="Comma 3 2 2 2 2 2 2" xfId="753" xr:uid="{00000000-0005-0000-0000-0000E7040000}"/>
    <cellStyle name="Comma 3 2 2 2 2 2 3" xfId="3903" xr:uid="{00000000-0005-0000-0000-0000E8040000}"/>
    <cellStyle name="Comma 3 2 2 2 2 3" xfId="687" xr:uid="{00000000-0005-0000-0000-0000E9040000}"/>
    <cellStyle name="Comma 3 2 2 2 2 4" xfId="3633" xr:uid="{00000000-0005-0000-0000-0000EA040000}"/>
    <cellStyle name="Comma 3 2 2 2 3" xfId="498" xr:uid="{00000000-0005-0000-0000-0000EB040000}"/>
    <cellStyle name="Comma 3 2 2 2 3 2" xfId="752" xr:uid="{00000000-0005-0000-0000-0000EC040000}"/>
    <cellStyle name="Comma 3 2 2 2 3 3" xfId="3790" xr:uid="{00000000-0005-0000-0000-0000ED040000}"/>
    <cellStyle name="Comma 3 2 2 2 4" xfId="625" xr:uid="{00000000-0005-0000-0000-0000EE040000}"/>
    <cellStyle name="Comma 3 2 2 2 5" xfId="3632" xr:uid="{00000000-0005-0000-0000-0000EF040000}"/>
    <cellStyle name="Comma 3 2 2 3" xfId="432" xr:uid="{00000000-0005-0000-0000-0000F0040000}"/>
    <cellStyle name="Comma 3 2 2 3 2" xfId="500" xr:uid="{00000000-0005-0000-0000-0000F1040000}"/>
    <cellStyle name="Comma 3 2 2 3 2 2" xfId="754" xr:uid="{00000000-0005-0000-0000-0000F2040000}"/>
    <cellStyle name="Comma 3 2 2 3 2 3" xfId="3634" xr:uid="{00000000-0005-0000-0000-0000F3040000}"/>
    <cellStyle name="Comma 3 2 2 3 3" xfId="686" xr:uid="{00000000-0005-0000-0000-0000F4040000}"/>
    <cellStyle name="Comma 3 2 2 3 3 2" xfId="1564" xr:uid="{00000000-0005-0000-0000-0000F5040000}"/>
    <cellStyle name="Comma 3 2 2 3 3 3" xfId="1565" xr:uid="{00000000-0005-0000-0000-0000F6040000}"/>
    <cellStyle name="Comma 3 2 2 4" xfId="497" xr:uid="{00000000-0005-0000-0000-0000F7040000}"/>
    <cellStyle name="Comma 3 2 2 4 2" xfId="751" xr:uid="{00000000-0005-0000-0000-0000F8040000}"/>
    <cellStyle name="Comma 3 2 2 4 3" xfId="3635" xr:uid="{00000000-0005-0000-0000-0000F9040000}"/>
    <cellStyle name="Comma 3 2 2 5" xfId="624" xr:uid="{00000000-0005-0000-0000-0000FA040000}"/>
    <cellStyle name="Comma 3 2 2 5 2" xfId="1566" xr:uid="{00000000-0005-0000-0000-0000FB040000}"/>
    <cellStyle name="Comma 3 2 2 5 3" xfId="1567" xr:uid="{00000000-0005-0000-0000-0000FC040000}"/>
    <cellStyle name="Comma 3 2 2 6" xfId="1568" xr:uid="{00000000-0005-0000-0000-0000FD040000}"/>
    <cellStyle name="Comma 3 2 2 7" xfId="1569" xr:uid="{00000000-0005-0000-0000-0000FE040000}"/>
    <cellStyle name="Comma 3 2 2 7 2" xfId="3904" xr:uid="{00000000-0005-0000-0000-0000FF040000}"/>
    <cellStyle name="Comma 3 2 2 8" xfId="1570" xr:uid="{00000000-0005-0000-0000-000000050000}"/>
    <cellStyle name="Comma 3 2 2 8 2" xfId="3791" xr:uid="{00000000-0005-0000-0000-000001050000}"/>
    <cellStyle name="Comma 3 2 2 8 3" xfId="3636" xr:uid="{00000000-0005-0000-0000-000002050000}"/>
    <cellStyle name="Comma 3 2 3" xfId="219" xr:uid="{00000000-0005-0000-0000-000003050000}"/>
    <cellStyle name="Comma 3 2 3 2" xfId="434" xr:uid="{00000000-0005-0000-0000-000004050000}"/>
    <cellStyle name="Comma 3 2 3 2 2" xfId="502" xr:uid="{00000000-0005-0000-0000-000005050000}"/>
    <cellStyle name="Comma 3 2 3 2 2 2" xfId="756" xr:uid="{00000000-0005-0000-0000-000006050000}"/>
    <cellStyle name="Comma 3 2 3 2 2 3" xfId="3906" xr:uid="{00000000-0005-0000-0000-000007050000}"/>
    <cellStyle name="Comma 3 2 3 2 3" xfId="688" xr:uid="{00000000-0005-0000-0000-000008050000}"/>
    <cellStyle name="Comma 3 2 3 2 4" xfId="3638" xr:uid="{00000000-0005-0000-0000-000009050000}"/>
    <cellStyle name="Comma 3 2 3 3" xfId="501" xr:uid="{00000000-0005-0000-0000-00000A050000}"/>
    <cellStyle name="Comma 3 2 3 3 2" xfId="755" xr:uid="{00000000-0005-0000-0000-00000B050000}"/>
    <cellStyle name="Comma 3 2 3 3 3" xfId="3639" xr:uid="{00000000-0005-0000-0000-00000C050000}"/>
    <cellStyle name="Comma 3 2 3 4" xfId="626" xr:uid="{00000000-0005-0000-0000-00000D050000}"/>
    <cellStyle name="Comma 3 2 3 4 2" xfId="3640" xr:uid="{00000000-0005-0000-0000-00000E050000}"/>
    <cellStyle name="Comma 3 2 3 5" xfId="3905" xr:uid="{00000000-0005-0000-0000-00000F050000}"/>
    <cellStyle name="Comma 3 2 3 6" xfId="3637" xr:uid="{00000000-0005-0000-0000-000010050000}"/>
    <cellStyle name="Comma 3 2 4" xfId="431" xr:uid="{00000000-0005-0000-0000-000011050000}"/>
    <cellStyle name="Comma 3 2 4 2" xfId="503" xr:uid="{00000000-0005-0000-0000-000012050000}"/>
    <cellStyle name="Comma 3 2 4 2 2" xfId="757" xr:uid="{00000000-0005-0000-0000-000013050000}"/>
    <cellStyle name="Comma 3 2 4 2 3" xfId="3642" xr:uid="{00000000-0005-0000-0000-000014050000}"/>
    <cellStyle name="Comma 3 2 4 3" xfId="685" xr:uid="{00000000-0005-0000-0000-000015050000}"/>
    <cellStyle name="Comma 3 2 4 4" xfId="3641" xr:uid="{00000000-0005-0000-0000-000016050000}"/>
    <cellStyle name="Comma 3 2 5" xfId="496" xr:uid="{00000000-0005-0000-0000-000017050000}"/>
    <cellStyle name="Comma 3 2 5 2" xfId="750" xr:uid="{00000000-0005-0000-0000-000018050000}"/>
    <cellStyle name="Comma 3 2 5 2 2" xfId="3643" xr:uid="{00000000-0005-0000-0000-000019050000}"/>
    <cellStyle name="Comma 3 2 5 3" xfId="1571" xr:uid="{00000000-0005-0000-0000-00001A050000}"/>
    <cellStyle name="Comma 3 2 5 3 2" xfId="1572" xr:uid="{00000000-0005-0000-0000-00001B050000}"/>
    <cellStyle name="Comma 3 2 5 3 3" xfId="1573" xr:uid="{00000000-0005-0000-0000-00001C050000}"/>
    <cellStyle name="Comma 3 2 6" xfId="623" xr:uid="{00000000-0005-0000-0000-00001D050000}"/>
    <cellStyle name="Comma 3 2 6 2" xfId="3644" xr:uid="{00000000-0005-0000-0000-00001E050000}"/>
    <cellStyle name="Comma 3 2 7" xfId="1574" xr:uid="{00000000-0005-0000-0000-00001F050000}"/>
    <cellStyle name="Comma 3 2 8" xfId="1575" xr:uid="{00000000-0005-0000-0000-000020050000}"/>
    <cellStyle name="Comma 3 2 9" xfId="1576" xr:uid="{00000000-0005-0000-0000-000021050000}"/>
    <cellStyle name="Comma 3 3" xfId="220" xr:uid="{00000000-0005-0000-0000-000022050000}"/>
    <cellStyle name="Comma 3 3 2" xfId="221" xr:uid="{00000000-0005-0000-0000-000023050000}"/>
    <cellStyle name="Comma 3 3 2 2" xfId="436" xr:uid="{00000000-0005-0000-0000-000024050000}"/>
    <cellStyle name="Comma 3 3 2 2 2" xfId="506" xr:uid="{00000000-0005-0000-0000-000025050000}"/>
    <cellStyle name="Comma 3 3 2 2 2 2" xfId="760" xr:uid="{00000000-0005-0000-0000-000026050000}"/>
    <cellStyle name="Comma 3 3 2 2 3" xfId="690" xr:uid="{00000000-0005-0000-0000-000027050000}"/>
    <cellStyle name="Comma 3 3 2 2 4" xfId="3907" xr:uid="{00000000-0005-0000-0000-000028050000}"/>
    <cellStyle name="Comma 3 3 2 3" xfId="505" xr:uid="{00000000-0005-0000-0000-000029050000}"/>
    <cellStyle name="Comma 3 3 2 3 2" xfId="759" xr:uid="{00000000-0005-0000-0000-00002A050000}"/>
    <cellStyle name="Comma 3 3 2 4" xfId="628" xr:uid="{00000000-0005-0000-0000-00002B050000}"/>
    <cellStyle name="Comma 3 3 2 5" xfId="3646" xr:uid="{00000000-0005-0000-0000-00002C050000}"/>
    <cellStyle name="Comma 3 3 3" xfId="435" xr:uid="{00000000-0005-0000-0000-00002D050000}"/>
    <cellStyle name="Comma 3 3 3 2" xfId="507" xr:uid="{00000000-0005-0000-0000-00002E050000}"/>
    <cellStyle name="Comma 3 3 3 2 2" xfId="761" xr:uid="{00000000-0005-0000-0000-00002F050000}"/>
    <cellStyle name="Comma 3 3 3 3" xfId="689" xr:uid="{00000000-0005-0000-0000-000030050000}"/>
    <cellStyle name="Comma 3 3 3 4" xfId="3647" xr:uid="{00000000-0005-0000-0000-000031050000}"/>
    <cellStyle name="Comma 3 3 4" xfId="504" xr:uid="{00000000-0005-0000-0000-000032050000}"/>
    <cellStyle name="Comma 3 3 4 2" xfId="758" xr:uid="{00000000-0005-0000-0000-000033050000}"/>
    <cellStyle name="Comma 3 3 4 2 2" xfId="3908" xr:uid="{00000000-0005-0000-0000-000034050000}"/>
    <cellStyle name="Comma 3 3 4 3" xfId="3648" xr:uid="{00000000-0005-0000-0000-000035050000}"/>
    <cellStyle name="Comma 3 3 5" xfId="627" xr:uid="{00000000-0005-0000-0000-000036050000}"/>
    <cellStyle name="Comma 3 3 6" xfId="3645" xr:uid="{00000000-0005-0000-0000-000037050000}"/>
    <cellStyle name="Comma 3 4" xfId="222" xr:uid="{00000000-0005-0000-0000-000038050000}"/>
    <cellStyle name="Comma 3 4 2" xfId="223" xr:uid="{00000000-0005-0000-0000-000039050000}"/>
    <cellStyle name="Comma 3 4 2 2" xfId="437" xr:uid="{00000000-0005-0000-0000-00003A050000}"/>
    <cellStyle name="Comma 3 4 2 2 2" xfId="509" xr:uid="{00000000-0005-0000-0000-00003B050000}"/>
    <cellStyle name="Comma 3 4 2 2 2 2" xfId="763" xr:uid="{00000000-0005-0000-0000-00003C050000}"/>
    <cellStyle name="Comma 3 4 2 2 3" xfId="691" xr:uid="{00000000-0005-0000-0000-00003D050000}"/>
    <cellStyle name="Comma 3 4 2 2 4" xfId="3649" xr:uid="{00000000-0005-0000-0000-00003E050000}"/>
    <cellStyle name="Comma 3 4 2 3" xfId="508" xr:uid="{00000000-0005-0000-0000-00003F050000}"/>
    <cellStyle name="Comma 3 4 2 3 2" xfId="762" xr:uid="{00000000-0005-0000-0000-000040050000}"/>
    <cellStyle name="Comma 3 4 2 3 2 2" xfId="3792" xr:uid="{00000000-0005-0000-0000-000041050000}"/>
    <cellStyle name="Comma 3 4 2 3 3" xfId="1577" xr:uid="{00000000-0005-0000-0000-000042050000}"/>
    <cellStyle name="Comma 3 4 2 4" xfId="629" xr:uid="{00000000-0005-0000-0000-000043050000}"/>
    <cellStyle name="Comma 3 4 3" xfId="224" xr:uid="{00000000-0005-0000-0000-000044050000}"/>
    <cellStyle name="Comma 3 4 3 2" xfId="1578" xr:uid="{00000000-0005-0000-0000-000045050000}"/>
    <cellStyle name="Comma 3 4 3 3" xfId="1579" xr:uid="{00000000-0005-0000-0000-000046050000}"/>
    <cellStyle name="Comma 3 4 4" xfId="1580" xr:uid="{00000000-0005-0000-0000-000047050000}"/>
    <cellStyle name="Comma 3 4 5" xfId="1581" xr:uid="{00000000-0005-0000-0000-000048050000}"/>
    <cellStyle name="Comma 3 4 5 2" xfId="3793" xr:uid="{00000000-0005-0000-0000-000049050000}"/>
    <cellStyle name="Comma 3 4 5 3" xfId="3650" xr:uid="{00000000-0005-0000-0000-00004A050000}"/>
    <cellStyle name="Comma 3 5" xfId="225" xr:uid="{00000000-0005-0000-0000-00004B050000}"/>
    <cellStyle name="Comma 3 5 2" xfId="438" xr:uid="{00000000-0005-0000-0000-00004C050000}"/>
    <cellStyle name="Comma 3 5 2 2" xfId="511" xr:uid="{00000000-0005-0000-0000-00004D050000}"/>
    <cellStyle name="Comma 3 5 2 2 2" xfId="765" xr:uid="{00000000-0005-0000-0000-00004E050000}"/>
    <cellStyle name="Comma 3 5 2 2 3" xfId="3651" xr:uid="{00000000-0005-0000-0000-00004F050000}"/>
    <cellStyle name="Comma 3 5 2 3" xfId="692" xr:uid="{00000000-0005-0000-0000-000050050000}"/>
    <cellStyle name="Comma 3 5 2 3 2" xfId="1582" xr:uid="{00000000-0005-0000-0000-000051050000}"/>
    <cellStyle name="Comma 3 5 2 3 3" xfId="1583" xr:uid="{00000000-0005-0000-0000-000052050000}"/>
    <cellStyle name="Comma 3 5 3" xfId="510" xr:uid="{00000000-0005-0000-0000-000053050000}"/>
    <cellStyle name="Comma 3 5 3 2" xfId="764" xr:uid="{00000000-0005-0000-0000-000054050000}"/>
    <cellStyle name="Comma 3 5 3 2 2" xfId="3794" xr:uid="{00000000-0005-0000-0000-000055050000}"/>
    <cellStyle name="Comma 3 5 3 3" xfId="1584" xr:uid="{00000000-0005-0000-0000-000056050000}"/>
    <cellStyle name="Comma 3 5 4" xfId="630" xr:uid="{00000000-0005-0000-0000-000057050000}"/>
    <cellStyle name="Comma 3 5 4 2" xfId="3909" xr:uid="{00000000-0005-0000-0000-000058050000}"/>
    <cellStyle name="Comma 3 5 4 3" xfId="3652" xr:uid="{00000000-0005-0000-0000-000059050000}"/>
    <cellStyle name="Comma 3 5 5" xfId="1585" xr:uid="{00000000-0005-0000-0000-00005A050000}"/>
    <cellStyle name="Comma 3 5 5 2" xfId="3795" xr:uid="{00000000-0005-0000-0000-00005B050000}"/>
    <cellStyle name="Comma 3 5 5 3" xfId="3653" xr:uid="{00000000-0005-0000-0000-00005C050000}"/>
    <cellStyle name="Comma 3 6" xfId="226" xr:uid="{00000000-0005-0000-0000-00005D050000}"/>
    <cellStyle name="Comma 3 6 2" xfId="439" xr:uid="{00000000-0005-0000-0000-00005E050000}"/>
    <cellStyle name="Comma 3 6 2 2" xfId="513" xr:uid="{00000000-0005-0000-0000-00005F050000}"/>
    <cellStyle name="Comma 3 6 2 2 2" xfId="767" xr:uid="{00000000-0005-0000-0000-000060050000}"/>
    <cellStyle name="Comma 3 6 2 2 3" xfId="3656" xr:uid="{00000000-0005-0000-0000-000061050000}"/>
    <cellStyle name="Comma 3 6 2 3" xfId="693" xr:uid="{00000000-0005-0000-0000-000062050000}"/>
    <cellStyle name="Comma 3 6 2 3 2" xfId="3657" xr:uid="{00000000-0005-0000-0000-000063050000}"/>
    <cellStyle name="Comma 3 6 2 4" xfId="3655" xr:uid="{00000000-0005-0000-0000-000064050000}"/>
    <cellStyle name="Comma 3 6 3" xfId="512" xr:uid="{00000000-0005-0000-0000-000065050000}"/>
    <cellStyle name="Comma 3 6 3 2" xfId="766" xr:uid="{00000000-0005-0000-0000-000066050000}"/>
    <cellStyle name="Comma 3 6 3 3" xfId="3658" xr:uid="{00000000-0005-0000-0000-000067050000}"/>
    <cellStyle name="Comma 3 6 4" xfId="631" xr:uid="{00000000-0005-0000-0000-000068050000}"/>
    <cellStyle name="Comma 3 6 5" xfId="3654" xr:uid="{00000000-0005-0000-0000-000069050000}"/>
    <cellStyle name="Comma 3 7" xfId="1586" xr:uid="{00000000-0005-0000-0000-00006A050000}"/>
    <cellStyle name="Comma 3 8" xfId="1587" xr:uid="{00000000-0005-0000-0000-00006B050000}"/>
    <cellStyle name="Comma 3 8 2" xfId="1588" xr:uid="{00000000-0005-0000-0000-00006C050000}"/>
    <cellStyle name="Comma 3 9" xfId="1589" xr:uid="{00000000-0005-0000-0000-00006D050000}"/>
    <cellStyle name="Comma 3 9 2" xfId="1590" xr:uid="{00000000-0005-0000-0000-00006E050000}"/>
    <cellStyle name="Comma 3 9 3" xfId="1591" xr:uid="{00000000-0005-0000-0000-00006F050000}"/>
    <cellStyle name="Comma 3 9 3 2" xfId="1592" xr:uid="{00000000-0005-0000-0000-000070050000}"/>
    <cellStyle name="Comma 3 9 3 3" xfId="1593" xr:uid="{00000000-0005-0000-0000-000071050000}"/>
    <cellStyle name="Comma 30" xfId="5578" xr:uid="{00000000-0005-0000-0000-000072050000}"/>
    <cellStyle name="Comma 31" xfId="5592" xr:uid="{00000000-0005-0000-0000-000073050000}"/>
    <cellStyle name="Comma 32" xfId="5594" xr:uid="{00000000-0005-0000-0000-000074050000}"/>
    <cellStyle name="Comma 33" xfId="5598" xr:uid="{00000000-0005-0000-0000-000075050000}"/>
    <cellStyle name="Comma 34" xfId="5600" xr:uid="{00000000-0005-0000-0000-000076050000}"/>
    <cellStyle name="Comma 35" xfId="5607" xr:uid="{00000000-0005-0000-0000-000077050000}"/>
    <cellStyle name="Comma 36" xfId="5611" xr:uid="{00000000-0005-0000-0000-000078050000}"/>
    <cellStyle name="Comma 37" xfId="5614" xr:uid="{00000000-0005-0000-0000-000079050000}"/>
    <cellStyle name="Comma 38" xfId="5619" xr:uid="{F02D5251-EF76-4D4B-93E8-170C3EE6EB55}"/>
    <cellStyle name="Comma 39" xfId="5622" xr:uid="{7252A364-9D7D-4200-BC18-FE3D0C07E18B}"/>
    <cellStyle name="Comma 4" xfId="5" xr:uid="{00000000-0005-0000-0000-00007A050000}"/>
    <cellStyle name="Comma 4 2" xfId="227" xr:uid="{00000000-0005-0000-0000-00007B050000}"/>
    <cellStyle name="Comma 4 2 2" xfId="440" xr:uid="{00000000-0005-0000-0000-00007C050000}"/>
    <cellStyle name="Comma 4 2 2 2" xfId="515" xr:uid="{00000000-0005-0000-0000-00007D050000}"/>
    <cellStyle name="Comma 4 2 2 2 2" xfId="769" xr:uid="{00000000-0005-0000-0000-00007E050000}"/>
    <cellStyle name="Comma 4 2 2 2 2 2" xfId="3911" xr:uid="{00000000-0005-0000-0000-00007F050000}"/>
    <cellStyle name="Comma 4 2 2 2 3" xfId="3661" xr:uid="{00000000-0005-0000-0000-000080050000}"/>
    <cellStyle name="Comma 4 2 2 3" xfId="694" xr:uid="{00000000-0005-0000-0000-000081050000}"/>
    <cellStyle name="Comma 4 2 2 3 2" xfId="3798" xr:uid="{00000000-0005-0000-0000-000082050000}"/>
    <cellStyle name="Comma 4 2 2 4" xfId="3660" xr:uid="{00000000-0005-0000-0000-000083050000}"/>
    <cellStyle name="Comma 4 2 3" xfId="514" xr:uid="{00000000-0005-0000-0000-000084050000}"/>
    <cellStyle name="Comma 4 2 3 2" xfId="768" xr:uid="{00000000-0005-0000-0000-000085050000}"/>
    <cellStyle name="Comma 4 2 3 2 2" xfId="3912" xr:uid="{00000000-0005-0000-0000-000086050000}"/>
    <cellStyle name="Comma 4 2 3 3" xfId="3662" xr:uid="{00000000-0005-0000-0000-000087050000}"/>
    <cellStyle name="Comma 4 2 4" xfId="632" xr:uid="{00000000-0005-0000-0000-000088050000}"/>
    <cellStyle name="Comma 4 2 4 2" xfId="1594" xr:uid="{00000000-0005-0000-0000-000089050000}"/>
    <cellStyle name="Comma 4 2 4 3" xfId="1595" xr:uid="{00000000-0005-0000-0000-00008A050000}"/>
    <cellStyle name="Comma 4 2 4 3 2" xfId="1596" xr:uid="{00000000-0005-0000-0000-00008B050000}"/>
    <cellStyle name="Comma 4 2 4 3 3" xfId="1597" xr:uid="{00000000-0005-0000-0000-00008C050000}"/>
    <cellStyle name="Comma 4 2 5" xfId="1598" xr:uid="{00000000-0005-0000-0000-00008D050000}"/>
    <cellStyle name="Comma 4 2 5 2" xfId="1599" xr:uid="{00000000-0005-0000-0000-00008E050000}"/>
    <cellStyle name="Comma 4 2 5 3" xfId="1600" xr:uid="{00000000-0005-0000-0000-00008F050000}"/>
    <cellStyle name="Comma 4 2 6" xfId="1601" xr:uid="{00000000-0005-0000-0000-000090050000}"/>
    <cellStyle name="Comma 4 2 7" xfId="1602" xr:uid="{00000000-0005-0000-0000-000091050000}"/>
    <cellStyle name="Comma 4 2 7 2" xfId="3913" xr:uid="{00000000-0005-0000-0000-000092050000}"/>
    <cellStyle name="Comma 4 2 8" xfId="1603" xr:uid="{00000000-0005-0000-0000-000093050000}"/>
    <cellStyle name="Comma 4 2 8 2" xfId="3799" xr:uid="{00000000-0005-0000-0000-000094050000}"/>
    <cellStyle name="Comma 4 2 8 3" xfId="3663" xr:uid="{00000000-0005-0000-0000-000095050000}"/>
    <cellStyle name="Comma 4 3" xfId="228" xr:uid="{00000000-0005-0000-0000-000096050000}"/>
    <cellStyle name="Comma 4 3 2" xfId="3910" xr:uid="{00000000-0005-0000-0000-000097050000}"/>
    <cellStyle name="Comma 4 4" xfId="229" xr:uid="{00000000-0005-0000-0000-000098050000}"/>
    <cellStyle name="Comma 4 4 2" xfId="441" xr:uid="{00000000-0005-0000-0000-000099050000}"/>
    <cellStyle name="Comma 4 4 2 2" xfId="517" xr:uid="{00000000-0005-0000-0000-00009A050000}"/>
    <cellStyle name="Comma 4 4 2 2 2" xfId="771" xr:uid="{00000000-0005-0000-0000-00009B050000}"/>
    <cellStyle name="Comma 4 4 2 3" xfId="695" xr:uid="{00000000-0005-0000-0000-00009C050000}"/>
    <cellStyle name="Comma 4 4 3" xfId="516" xr:uid="{00000000-0005-0000-0000-00009D050000}"/>
    <cellStyle name="Comma 4 4 3 2" xfId="770" xr:uid="{00000000-0005-0000-0000-00009E050000}"/>
    <cellStyle name="Comma 4 4 4" xfId="633" xr:uid="{00000000-0005-0000-0000-00009F050000}"/>
    <cellStyle name="Comma 4 5" xfId="230" xr:uid="{00000000-0005-0000-0000-0000A0050000}"/>
    <cellStyle name="Comma 4 5 2" xfId="442" xr:uid="{00000000-0005-0000-0000-0000A1050000}"/>
    <cellStyle name="Comma 4 5 2 2" xfId="519" xr:uid="{00000000-0005-0000-0000-0000A2050000}"/>
    <cellStyle name="Comma 4 5 2 2 2" xfId="773" xr:uid="{00000000-0005-0000-0000-0000A3050000}"/>
    <cellStyle name="Comma 4 5 2 3" xfId="696" xr:uid="{00000000-0005-0000-0000-0000A4050000}"/>
    <cellStyle name="Comma 4 5 3" xfId="518" xr:uid="{00000000-0005-0000-0000-0000A5050000}"/>
    <cellStyle name="Comma 4 5 3 2" xfId="772" xr:uid="{00000000-0005-0000-0000-0000A6050000}"/>
    <cellStyle name="Comma 4 5 4" xfId="634" xr:uid="{00000000-0005-0000-0000-0000A7050000}"/>
    <cellStyle name="Comma 4 6" xfId="393" xr:uid="{00000000-0005-0000-0000-0000A8050000}"/>
    <cellStyle name="Comma 40" xfId="5628" xr:uid="{E285C3C6-765C-43CA-A78C-357D77CE32E2}"/>
    <cellStyle name="Comma 41" xfId="5634" xr:uid="{D670B140-E8BF-4E44-B63D-94CB1469F8E1}"/>
    <cellStyle name="Comma 42" xfId="5637" xr:uid="{2DB8246C-092A-4758-8849-B6BDFF6FE94C}"/>
    <cellStyle name="Comma 5" xfId="6" xr:uid="{00000000-0005-0000-0000-0000A9050000}"/>
    <cellStyle name="Comma 5 2" xfId="231" xr:uid="{00000000-0005-0000-0000-0000AA050000}"/>
    <cellStyle name="Comma 5 2 2" xfId="1604" xr:uid="{00000000-0005-0000-0000-0000AB050000}"/>
    <cellStyle name="Comma 5 3" xfId="1605" xr:uid="{00000000-0005-0000-0000-0000AC050000}"/>
    <cellStyle name="Comma 5 3 2" xfId="1606" xr:uid="{00000000-0005-0000-0000-0000AD050000}"/>
    <cellStyle name="Comma 5 4" xfId="1607" xr:uid="{00000000-0005-0000-0000-0000AE050000}"/>
    <cellStyle name="Comma 5 5" xfId="3914" xr:uid="{00000000-0005-0000-0000-0000AF050000}"/>
    <cellStyle name="Comma 6" xfId="232" xr:uid="{00000000-0005-0000-0000-0000B0050000}"/>
    <cellStyle name="Comma 6 10" xfId="3664" xr:uid="{00000000-0005-0000-0000-0000B1050000}"/>
    <cellStyle name="Comma 6 11" xfId="3915" xr:uid="{00000000-0005-0000-0000-0000B2050000}"/>
    <cellStyle name="Comma 6 12" xfId="5605" xr:uid="{00000000-0005-0000-0000-0000B3050000}"/>
    <cellStyle name="Comma 6 2" xfId="1608" xr:uid="{00000000-0005-0000-0000-0000B4050000}"/>
    <cellStyle name="Comma 6 2 2" xfId="1609" xr:uid="{00000000-0005-0000-0000-0000B5050000}"/>
    <cellStyle name="Comma 6 2 2 2" xfId="1610" xr:uid="{00000000-0005-0000-0000-0000B6050000}"/>
    <cellStyle name="Comma 6 2 3" xfId="1611" xr:uid="{00000000-0005-0000-0000-0000B7050000}"/>
    <cellStyle name="Comma 6 2 3 2" xfId="3917" xr:uid="{00000000-0005-0000-0000-0000B8050000}"/>
    <cellStyle name="Comma 6 2 4" xfId="1612" xr:uid="{00000000-0005-0000-0000-0000B9050000}"/>
    <cellStyle name="Comma 6 2 5" xfId="3916" xr:uid="{00000000-0005-0000-0000-0000BA050000}"/>
    <cellStyle name="Comma 6 3" xfId="1613" xr:uid="{00000000-0005-0000-0000-0000BB050000}"/>
    <cellStyle name="Comma 6 3 2" xfId="1614" xr:uid="{00000000-0005-0000-0000-0000BC050000}"/>
    <cellStyle name="Comma 6 3 3" xfId="1615" xr:uid="{00000000-0005-0000-0000-0000BD050000}"/>
    <cellStyle name="Comma 6 3 3 2" xfId="3918" xr:uid="{00000000-0005-0000-0000-0000BE050000}"/>
    <cellStyle name="Comma 6 3 3 3" xfId="3665" xr:uid="{00000000-0005-0000-0000-0000BF050000}"/>
    <cellStyle name="Comma 6 4" xfId="1616" xr:uid="{00000000-0005-0000-0000-0000C0050000}"/>
    <cellStyle name="Comma 6 4 2" xfId="1617" xr:uid="{00000000-0005-0000-0000-0000C1050000}"/>
    <cellStyle name="Comma 6 5" xfId="1618" xr:uid="{00000000-0005-0000-0000-0000C2050000}"/>
    <cellStyle name="Comma 6 6" xfId="1619" xr:uid="{00000000-0005-0000-0000-0000C3050000}"/>
    <cellStyle name="Comma 6 6 2" xfId="1620" xr:uid="{00000000-0005-0000-0000-0000C4050000}"/>
    <cellStyle name="Comma 6 6 3" xfId="1621" xr:uid="{00000000-0005-0000-0000-0000C5050000}"/>
    <cellStyle name="Comma 6 6 3 2" xfId="1622" xr:uid="{00000000-0005-0000-0000-0000C6050000}"/>
    <cellStyle name="Comma 6 6 3 3" xfId="1623" xr:uid="{00000000-0005-0000-0000-0000C7050000}"/>
    <cellStyle name="Comma 6 7" xfId="1624" xr:uid="{00000000-0005-0000-0000-0000C8050000}"/>
    <cellStyle name="Comma 6 7 2" xfId="1625" xr:uid="{00000000-0005-0000-0000-0000C9050000}"/>
    <cellStyle name="Comma 6 7 3" xfId="1626" xr:uid="{00000000-0005-0000-0000-0000CA050000}"/>
    <cellStyle name="Comma 6 8" xfId="1627" xr:uid="{00000000-0005-0000-0000-0000CB050000}"/>
    <cellStyle name="Comma 6 8 2" xfId="3919" xr:uid="{00000000-0005-0000-0000-0000CC050000}"/>
    <cellStyle name="Comma 6 9" xfId="3666" xr:uid="{00000000-0005-0000-0000-0000CD050000}"/>
    <cellStyle name="Comma 7" xfId="233" xr:uid="{00000000-0005-0000-0000-0000CE050000}"/>
    <cellStyle name="Comma 7 2" xfId="1628" xr:uid="{00000000-0005-0000-0000-0000CF050000}"/>
    <cellStyle name="Comma 7 2 2" xfId="1629" xr:uid="{00000000-0005-0000-0000-0000D0050000}"/>
    <cellStyle name="Comma 7 3" xfId="1630" xr:uid="{00000000-0005-0000-0000-0000D1050000}"/>
    <cellStyle name="Comma 7 3 2" xfId="1631" xr:uid="{00000000-0005-0000-0000-0000D2050000}"/>
    <cellStyle name="Comma 7 4" xfId="1632" xr:uid="{00000000-0005-0000-0000-0000D3050000}"/>
    <cellStyle name="Comma 7 4 2" xfId="3920" xr:uid="{00000000-0005-0000-0000-0000D4050000}"/>
    <cellStyle name="Comma 7 5" xfId="1633" xr:uid="{00000000-0005-0000-0000-0000D5050000}"/>
    <cellStyle name="Comma 7 5 2" xfId="3921" xr:uid="{00000000-0005-0000-0000-0000D6050000}"/>
    <cellStyle name="Comma 7 6" xfId="5510" xr:uid="{00000000-0005-0000-0000-0000D7050000}"/>
    <cellStyle name="Comma 7 7" xfId="5522" xr:uid="{00000000-0005-0000-0000-0000D8050000}"/>
    <cellStyle name="Comma 8" xfId="234" xr:uid="{00000000-0005-0000-0000-0000D9050000}"/>
    <cellStyle name="Comma 8 2" xfId="443" xr:uid="{00000000-0005-0000-0000-0000DA050000}"/>
    <cellStyle name="Comma 8 2 2" xfId="521" xr:uid="{00000000-0005-0000-0000-0000DB050000}"/>
    <cellStyle name="Comma 8 2 2 2" xfId="775" xr:uid="{00000000-0005-0000-0000-0000DC050000}"/>
    <cellStyle name="Comma 8 2 2 3" xfId="5117" xr:uid="{00000000-0005-0000-0000-0000DD050000}"/>
    <cellStyle name="Comma 8 2 3" xfId="697" xr:uid="{00000000-0005-0000-0000-0000DE050000}"/>
    <cellStyle name="Comma 8 2 4" xfId="3668" xr:uid="{00000000-0005-0000-0000-0000DF050000}"/>
    <cellStyle name="Comma 8 2 5" xfId="4665" xr:uid="{00000000-0005-0000-0000-0000E0050000}"/>
    <cellStyle name="Comma 8 3" xfId="520" xr:uid="{00000000-0005-0000-0000-0000E1050000}"/>
    <cellStyle name="Comma 8 3 2" xfId="774" xr:uid="{00000000-0005-0000-0000-0000E2050000}"/>
    <cellStyle name="Comma 8 3 2 2" xfId="3922" xr:uid="{00000000-0005-0000-0000-0000E3050000}"/>
    <cellStyle name="Comma 8 3 3" xfId="3669" xr:uid="{00000000-0005-0000-0000-0000E4050000}"/>
    <cellStyle name="Comma 8 4" xfId="635" xr:uid="{00000000-0005-0000-0000-0000E5050000}"/>
    <cellStyle name="Comma 8 4 2" xfId="3923" xr:uid="{00000000-0005-0000-0000-0000E6050000}"/>
    <cellStyle name="Comma 8 4 3" xfId="3670" xr:uid="{00000000-0005-0000-0000-0000E7050000}"/>
    <cellStyle name="Comma 8 5" xfId="1634" xr:uid="{00000000-0005-0000-0000-0000E8050000}"/>
    <cellStyle name="Comma 8 5 2" xfId="3924" xr:uid="{00000000-0005-0000-0000-0000E9050000}"/>
    <cellStyle name="Comma 8 6" xfId="1635" xr:uid="{00000000-0005-0000-0000-0000EA050000}"/>
    <cellStyle name="Comma 8 6 2" xfId="3671" xr:uid="{00000000-0005-0000-0000-0000EB050000}"/>
    <cellStyle name="Comma 8 7" xfId="3667" xr:uid="{00000000-0005-0000-0000-0000EC050000}"/>
    <cellStyle name="Comma 8 8" xfId="4664" xr:uid="{00000000-0005-0000-0000-0000ED050000}"/>
    <cellStyle name="Comma 8 9" xfId="5511" xr:uid="{00000000-0005-0000-0000-0000EE050000}"/>
    <cellStyle name="Comma 9" xfId="235" xr:uid="{00000000-0005-0000-0000-0000EF050000}"/>
    <cellStyle name="Comma 9 2" xfId="1636" xr:uid="{00000000-0005-0000-0000-0000F0050000}"/>
    <cellStyle name="Comma 9 2 2" xfId="3926" xr:uid="{00000000-0005-0000-0000-0000F1050000}"/>
    <cellStyle name="Comma 9 3" xfId="1637" xr:uid="{00000000-0005-0000-0000-0000F2050000}"/>
    <cellStyle name="Comma 9 4" xfId="3925" xr:uid="{00000000-0005-0000-0000-0000F3050000}"/>
    <cellStyle name="Comma0" xfId="1638" xr:uid="{00000000-0005-0000-0000-0000F4050000}"/>
    <cellStyle name="Comma0 - Style1" xfId="1639" xr:uid="{00000000-0005-0000-0000-0000F5050000}"/>
    <cellStyle name="Comma0 - Style4" xfId="1640" xr:uid="{00000000-0005-0000-0000-0000F6050000}"/>
    <cellStyle name="Comma0 10" xfId="4528" xr:uid="{00000000-0005-0000-0000-0000F7050000}"/>
    <cellStyle name="Comma0 11" xfId="4577" xr:uid="{00000000-0005-0000-0000-0000F8050000}"/>
    <cellStyle name="Comma0 12" xfId="4578" xr:uid="{00000000-0005-0000-0000-0000F9050000}"/>
    <cellStyle name="Comma0 13" xfId="4579" xr:uid="{00000000-0005-0000-0000-0000FA050000}"/>
    <cellStyle name="Comma0 14" xfId="4580" xr:uid="{00000000-0005-0000-0000-0000FB050000}"/>
    <cellStyle name="Comma0 15" xfId="4582" xr:uid="{00000000-0005-0000-0000-0000FC050000}"/>
    <cellStyle name="Comma0 2" xfId="3927" xr:uid="{00000000-0005-0000-0000-0000FD050000}"/>
    <cellStyle name="Comma0 3" xfId="4516" xr:uid="{00000000-0005-0000-0000-0000FE050000}"/>
    <cellStyle name="Comma0 4" xfId="4521" xr:uid="{00000000-0005-0000-0000-0000FF050000}"/>
    <cellStyle name="Comma0 5" xfId="4524" xr:uid="{00000000-0005-0000-0000-000000060000}"/>
    <cellStyle name="Comma0 6" xfId="4525" xr:uid="{00000000-0005-0000-0000-000001060000}"/>
    <cellStyle name="Comma0 7" xfId="4526" xr:uid="{00000000-0005-0000-0000-000002060000}"/>
    <cellStyle name="Comma0 8" xfId="4527" xr:uid="{00000000-0005-0000-0000-000003060000}"/>
    <cellStyle name="Comma0 9" xfId="4529" xr:uid="{00000000-0005-0000-0000-000004060000}"/>
    <cellStyle name="Copied" xfId="1641" xr:uid="{00000000-0005-0000-0000-000005060000}"/>
    <cellStyle name="COST1" xfId="1642" xr:uid="{00000000-0005-0000-0000-000006060000}"/>
    <cellStyle name="Curren - Style1" xfId="1643" xr:uid="{00000000-0005-0000-0000-000007060000}"/>
    <cellStyle name="Curren - Style5" xfId="1644" xr:uid="{00000000-0005-0000-0000-000008060000}"/>
    <cellStyle name="Currency 0" xfId="1645" xr:uid="{00000000-0005-0000-0000-00000A060000}"/>
    <cellStyle name="Currency 10" xfId="1646" xr:uid="{00000000-0005-0000-0000-00000B060000}"/>
    <cellStyle name="Currency 10 2" xfId="1647" xr:uid="{00000000-0005-0000-0000-00000C060000}"/>
    <cellStyle name="Currency 10 3" xfId="1648" xr:uid="{00000000-0005-0000-0000-00000D060000}"/>
    <cellStyle name="Currency 10 3 2" xfId="1649" xr:uid="{00000000-0005-0000-0000-00000E060000}"/>
    <cellStyle name="Currency 11" xfId="1650" xr:uid="{00000000-0005-0000-0000-00000F060000}"/>
    <cellStyle name="Currency 12" xfId="1651" xr:uid="{00000000-0005-0000-0000-000010060000}"/>
    <cellStyle name="Currency 12 2" xfId="1652" xr:uid="{00000000-0005-0000-0000-000011060000}"/>
    <cellStyle name="Currency 13" xfId="1653" xr:uid="{00000000-0005-0000-0000-000012060000}"/>
    <cellStyle name="Currency 13 2" xfId="1654" xr:uid="{00000000-0005-0000-0000-000013060000}"/>
    <cellStyle name="Currency 13 2 2" xfId="5481" xr:uid="{00000000-0005-0000-0000-000014060000}"/>
    <cellStyle name="Currency 13 3" xfId="5059" xr:uid="{00000000-0005-0000-0000-000015060000}"/>
    <cellStyle name="Currency 14" xfId="1655" xr:uid="{00000000-0005-0000-0000-000016060000}"/>
    <cellStyle name="Currency 15" xfId="1656" xr:uid="{00000000-0005-0000-0000-000017060000}"/>
    <cellStyle name="Currency 15 2" xfId="5133" xr:uid="{00000000-0005-0000-0000-000018060000}"/>
    <cellStyle name="Currency 16" xfId="4637" xr:uid="{00000000-0005-0000-0000-000019060000}"/>
    <cellStyle name="Currency 17" xfId="5530" xr:uid="{00000000-0005-0000-0000-00001A060000}"/>
    <cellStyle name="Currency 18" xfId="5561" xr:uid="{00000000-0005-0000-0000-00001B060000}"/>
    <cellStyle name="Currency 19" xfId="5564" xr:uid="{00000000-0005-0000-0000-00001C060000}"/>
    <cellStyle name="Currency 2" xfId="7" xr:uid="{00000000-0005-0000-0000-00001D060000}"/>
    <cellStyle name="Currency 2 2" xfId="384" xr:uid="{00000000-0005-0000-0000-00001E060000}"/>
    <cellStyle name="Currency 2 2 2" xfId="1657" xr:uid="{00000000-0005-0000-0000-00001F060000}"/>
    <cellStyle name="Currency 2 2 3" xfId="1658" xr:uid="{00000000-0005-0000-0000-000020060000}"/>
    <cellStyle name="Currency 2 3" xfId="677" xr:uid="{00000000-0005-0000-0000-000021060000}"/>
    <cellStyle name="Currency 2 3 2" xfId="3929" xr:uid="{00000000-0005-0000-0000-000022060000}"/>
    <cellStyle name="Currency 2 3 3" xfId="3672" xr:uid="{00000000-0005-0000-0000-000023060000}"/>
    <cellStyle name="Currency 2 4" xfId="1659" xr:uid="{00000000-0005-0000-0000-000024060000}"/>
    <cellStyle name="Currency 2 4 2" xfId="1660" xr:uid="{00000000-0005-0000-0000-000025060000}"/>
    <cellStyle name="Currency 2 4 3" xfId="1661" xr:uid="{00000000-0005-0000-0000-000026060000}"/>
    <cellStyle name="Currency 2 5" xfId="1662" xr:uid="{00000000-0005-0000-0000-000027060000}"/>
    <cellStyle name="Currency 2 5 2" xfId="1663" xr:uid="{00000000-0005-0000-0000-000028060000}"/>
    <cellStyle name="Currency 2 5 3" xfId="3928" xr:uid="{00000000-0005-0000-0000-000029060000}"/>
    <cellStyle name="Currency 2 6" xfId="5532" xr:uid="{00000000-0005-0000-0000-00002A060000}"/>
    <cellStyle name="Currency 2_Augmentation" xfId="1664" xr:uid="{00000000-0005-0000-0000-00002B060000}"/>
    <cellStyle name="Currency 20" xfId="5576" xr:uid="{00000000-0005-0000-0000-00002C060000}"/>
    <cellStyle name="Currency 21" xfId="5582" xr:uid="{00000000-0005-0000-0000-00002D060000}"/>
    <cellStyle name="Currency 22" xfId="5587" xr:uid="{00000000-0005-0000-0000-00002E060000}"/>
    <cellStyle name="Currency 23" xfId="5590" xr:uid="{00000000-0005-0000-0000-00002F060000}"/>
    <cellStyle name="Currency 24" xfId="5604" xr:uid="{00000000-0005-0000-0000-000030060000}"/>
    <cellStyle name="Currency 25" xfId="5624" xr:uid="{708FE062-DB83-4B2A-A85A-4380B8C27A06}"/>
    <cellStyle name="Currency 26" xfId="5627" xr:uid="{2ABF2CE6-7509-4765-92C9-D3061A00C21B}"/>
    <cellStyle name="Currency 27" xfId="5631" xr:uid="{45C3DE8D-0771-4F60-BCBC-C92E9EF03EA4}"/>
    <cellStyle name="Currency 3" xfId="236" xr:uid="{00000000-0005-0000-0000-000031060000}"/>
    <cellStyle name="Currency 3 2" xfId="237" xr:uid="{00000000-0005-0000-0000-000032060000}"/>
    <cellStyle name="Currency 3 2 2" xfId="3674" xr:uid="{00000000-0005-0000-0000-000033060000}"/>
    <cellStyle name="Currency 3 2 3" xfId="4703" xr:uid="{00000000-0005-0000-0000-000034060000}"/>
    <cellStyle name="Currency 3 3" xfId="238" xr:uid="{00000000-0005-0000-0000-000035060000}"/>
    <cellStyle name="Currency 3 3 2" xfId="5121" xr:uid="{00000000-0005-0000-0000-000036060000}"/>
    <cellStyle name="Currency 3 4" xfId="615" xr:uid="{00000000-0005-0000-0000-000037060000}"/>
    <cellStyle name="Currency 3 5" xfId="3673" xr:uid="{00000000-0005-0000-0000-000038060000}"/>
    <cellStyle name="Currency 4" xfId="239" xr:uid="{00000000-0005-0000-0000-000039060000}"/>
    <cellStyle name="Currency 4 2" xfId="240" xr:uid="{00000000-0005-0000-0000-00003A060000}"/>
    <cellStyle name="Currency 4 2 2" xfId="1665" xr:uid="{00000000-0005-0000-0000-00003B060000}"/>
    <cellStyle name="Currency 4 2 3" xfId="5076" xr:uid="{00000000-0005-0000-0000-00003C060000}"/>
    <cellStyle name="Currency 4 3" xfId="1666" xr:uid="{00000000-0005-0000-0000-00003D060000}"/>
    <cellStyle name="Currency 4 4" xfId="1667" xr:uid="{00000000-0005-0000-0000-00003E060000}"/>
    <cellStyle name="Currency 4 5" xfId="4677" xr:uid="{00000000-0005-0000-0000-00003F060000}"/>
    <cellStyle name="Currency 4 6" xfId="5512" xr:uid="{00000000-0005-0000-0000-000040060000}"/>
    <cellStyle name="Currency 4 7" xfId="5523" xr:uid="{00000000-0005-0000-0000-000041060000}"/>
    <cellStyle name="Currency 5" xfId="241" xr:uid="{00000000-0005-0000-0000-000042060000}"/>
    <cellStyle name="Currency 5 2" xfId="1668" xr:uid="{00000000-0005-0000-0000-000043060000}"/>
    <cellStyle name="Currency 5 3" xfId="1669" xr:uid="{00000000-0005-0000-0000-000044060000}"/>
    <cellStyle name="Currency 5 4" xfId="5513" xr:uid="{00000000-0005-0000-0000-000045060000}"/>
    <cellStyle name="Currency 6" xfId="242" xr:uid="{00000000-0005-0000-0000-000046060000}"/>
    <cellStyle name="Currency 6 2" xfId="444" xr:uid="{00000000-0005-0000-0000-000047060000}"/>
    <cellStyle name="Currency 6 2 2" xfId="523" xr:uid="{00000000-0005-0000-0000-000048060000}"/>
    <cellStyle name="Currency 6 2 2 2" xfId="777" xr:uid="{00000000-0005-0000-0000-000049060000}"/>
    <cellStyle name="Currency 6 2 3" xfId="698" xr:uid="{00000000-0005-0000-0000-00004A060000}"/>
    <cellStyle name="Currency 6 2 4" xfId="4704" xr:uid="{00000000-0005-0000-0000-00004B060000}"/>
    <cellStyle name="Currency 6 3" xfId="522" xr:uid="{00000000-0005-0000-0000-00004C060000}"/>
    <cellStyle name="Currency 6 3 2" xfId="776" xr:uid="{00000000-0005-0000-0000-00004D060000}"/>
    <cellStyle name="Currency 6 3 3" xfId="4689" xr:uid="{00000000-0005-0000-0000-00004E060000}"/>
    <cellStyle name="Currency 6 4" xfId="636" xr:uid="{00000000-0005-0000-0000-00004F060000}"/>
    <cellStyle name="Currency 6 4 2" xfId="5074" xr:uid="{00000000-0005-0000-0000-000050060000}"/>
    <cellStyle name="Currency 6 5" xfId="3675" xr:uid="{00000000-0005-0000-0000-000051060000}"/>
    <cellStyle name="Currency 6 6" xfId="4679" xr:uid="{00000000-0005-0000-0000-000052060000}"/>
    <cellStyle name="Currency 7" xfId="243" xr:uid="{00000000-0005-0000-0000-000053060000}"/>
    <cellStyle name="Currency 7 2" xfId="1670" xr:uid="{00000000-0005-0000-0000-000054060000}"/>
    <cellStyle name="Currency 7 2 2" xfId="1671" xr:uid="{00000000-0005-0000-0000-000055060000}"/>
    <cellStyle name="Currency 7 2 2 2" xfId="4395" xr:uid="{00000000-0005-0000-0000-000056060000}"/>
    <cellStyle name="Currency 7 2 3" xfId="3800" xr:uid="{00000000-0005-0000-0000-000057060000}"/>
    <cellStyle name="Currency 7 3" xfId="1672" xr:uid="{00000000-0005-0000-0000-000058060000}"/>
    <cellStyle name="Currency 7 3 2" xfId="1673" xr:uid="{00000000-0005-0000-0000-000059060000}"/>
    <cellStyle name="Currency 7 3 2 2" xfId="1674" xr:uid="{00000000-0005-0000-0000-00005A060000}"/>
    <cellStyle name="Currency 7 3 2 2 2" xfId="1675" xr:uid="{00000000-0005-0000-0000-00005B060000}"/>
    <cellStyle name="Currency 7 3 2 2 2 2" xfId="1676" xr:uid="{00000000-0005-0000-0000-00005C060000}"/>
    <cellStyle name="Currency 7 3 2 2 2 2 2" xfId="5351" xr:uid="{00000000-0005-0000-0000-00005D060000}"/>
    <cellStyle name="Currency 7 3 2 2 2 3" xfId="4928" xr:uid="{00000000-0005-0000-0000-00005E060000}"/>
    <cellStyle name="Currency 7 3 2 2 3" xfId="1677" xr:uid="{00000000-0005-0000-0000-00005F060000}"/>
    <cellStyle name="Currency 7 3 2 2 3 2" xfId="5229" xr:uid="{00000000-0005-0000-0000-000060060000}"/>
    <cellStyle name="Currency 7 3 2 2 4" xfId="4803" xr:uid="{00000000-0005-0000-0000-000061060000}"/>
    <cellStyle name="Currency 7 3 2 3" xfId="1678" xr:uid="{00000000-0005-0000-0000-000062060000}"/>
    <cellStyle name="Currency 7 3 2 3 2" xfId="1679" xr:uid="{00000000-0005-0000-0000-000063060000}"/>
    <cellStyle name="Currency 7 3 2 3 2 2" xfId="5350" xr:uid="{00000000-0005-0000-0000-000064060000}"/>
    <cellStyle name="Currency 7 3 2 3 3" xfId="4927" xr:uid="{00000000-0005-0000-0000-000065060000}"/>
    <cellStyle name="Currency 7 3 2 4" xfId="1680" xr:uid="{00000000-0005-0000-0000-000066060000}"/>
    <cellStyle name="Currency 7 3 2 4 2" xfId="5189" xr:uid="{00000000-0005-0000-0000-000067060000}"/>
    <cellStyle name="Currency 7 3 2 5" xfId="4760" xr:uid="{00000000-0005-0000-0000-000068060000}"/>
    <cellStyle name="Currency 7 3 3" xfId="1681" xr:uid="{00000000-0005-0000-0000-000069060000}"/>
    <cellStyle name="Currency 7 3 3 2" xfId="1682" xr:uid="{00000000-0005-0000-0000-00006A060000}"/>
    <cellStyle name="Currency 7 3 3 2 2" xfId="1683" xr:uid="{00000000-0005-0000-0000-00006B060000}"/>
    <cellStyle name="Currency 7 3 3 2 2 2" xfId="5352" xr:uid="{00000000-0005-0000-0000-00006C060000}"/>
    <cellStyle name="Currency 7 3 3 2 3" xfId="4929" xr:uid="{00000000-0005-0000-0000-00006D060000}"/>
    <cellStyle name="Currency 7 3 3 3" xfId="1684" xr:uid="{00000000-0005-0000-0000-00006E060000}"/>
    <cellStyle name="Currency 7 3 3 3 2" xfId="5250" xr:uid="{00000000-0005-0000-0000-00006F060000}"/>
    <cellStyle name="Currency 7 3 3 4" xfId="4825" xr:uid="{00000000-0005-0000-0000-000070060000}"/>
    <cellStyle name="Currency 7 3 4" xfId="1685" xr:uid="{00000000-0005-0000-0000-000071060000}"/>
    <cellStyle name="Currency 7 3 4 2" xfId="1686" xr:uid="{00000000-0005-0000-0000-000072060000}"/>
    <cellStyle name="Currency 7 3 4 2 2" xfId="1687" xr:uid="{00000000-0005-0000-0000-000073060000}"/>
    <cellStyle name="Currency 7 3 4 2 2 2" xfId="5353" xr:uid="{00000000-0005-0000-0000-000074060000}"/>
    <cellStyle name="Currency 7 3 4 2 3" xfId="4930" xr:uid="{00000000-0005-0000-0000-000075060000}"/>
    <cellStyle name="Currency 7 3 4 3" xfId="1688" xr:uid="{00000000-0005-0000-0000-000076060000}"/>
    <cellStyle name="Currency 7 3 4 3 2" xfId="5213" xr:uid="{00000000-0005-0000-0000-000077060000}"/>
    <cellStyle name="Currency 7 3 4 4" xfId="4787" xr:uid="{00000000-0005-0000-0000-000078060000}"/>
    <cellStyle name="Currency 7 3 5" xfId="1689" xr:uid="{00000000-0005-0000-0000-000079060000}"/>
    <cellStyle name="Currency 7 3 5 2" xfId="1690" xr:uid="{00000000-0005-0000-0000-00007A060000}"/>
    <cellStyle name="Currency 7 3 5 2 2" xfId="1691" xr:uid="{00000000-0005-0000-0000-00007B060000}"/>
    <cellStyle name="Currency 7 3 5 2 2 2" xfId="5354" xr:uid="{00000000-0005-0000-0000-00007C060000}"/>
    <cellStyle name="Currency 7 3 5 2 3" xfId="4931" xr:uid="{00000000-0005-0000-0000-00007D060000}"/>
    <cellStyle name="Currency 7 3 5 3" xfId="1692" xr:uid="{00000000-0005-0000-0000-00007E060000}"/>
    <cellStyle name="Currency 7 3 5 3 2" xfId="5286" xr:uid="{00000000-0005-0000-0000-00007F060000}"/>
    <cellStyle name="Currency 7 3 5 4" xfId="4863" xr:uid="{00000000-0005-0000-0000-000080060000}"/>
    <cellStyle name="Currency 7 3 6" xfId="1693" xr:uid="{00000000-0005-0000-0000-000081060000}"/>
    <cellStyle name="Currency 7 3 6 2" xfId="1694" xr:uid="{00000000-0005-0000-0000-000082060000}"/>
    <cellStyle name="Currency 7 3 6 2 2" xfId="1695" xr:uid="{00000000-0005-0000-0000-000083060000}"/>
    <cellStyle name="Currency 7 3 6 2 2 2" xfId="5355" xr:uid="{00000000-0005-0000-0000-000084060000}"/>
    <cellStyle name="Currency 7 3 6 2 3" xfId="4932" xr:uid="{00000000-0005-0000-0000-000085060000}"/>
    <cellStyle name="Currency 7 3 6 3" xfId="1696" xr:uid="{00000000-0005-0000-0000-000086060000}"/>
    <cellStyle name="Currency 7 3 6 3 2" xfId="5173" xr:uid="{00000000-0005-0000-0000-000087060000}"/>
    <cellStyle name="Currency 7 3 6 4" xfId="4744" xr:uid="{00000000-0005-0000-0000-000088060000}"/>
    <cellStyle name="Currency 7 3 7" xfId="1697" xr:uid="{00000000-0005-0000-0000-000089060000}"/>
    <cellStyle name="Currency 7 3 7 2" xfId="1698" xr:uid="{00000000-0005-0000-0000-00008A060000}"/>
    <cellStyle name="Currency 7 3 7 2 2" xfId="5349" xr:uid="{00000000-0005-0000-0000-00008B060000}"/>
    <cellStyle name="Currency 7 3 7 3" xfId="4926" xr:uid="{00000000-0005-0000-0000-00008C060000}"/>
    <cellStyle name="Currency 7 3 8" xfId="1699" xr:uid="{00000000-0005-0000-0000-00008D060000}"/>
    <cellStyle name="Currency 7 3 8 2" xfId="5148" xr:uid="{00000000-0005-0000-0000-00008E060000}"/>
    <cellStyle name="Currency 7 3 9" xfId="4705" xr:uid="{00000000-0005-0000-0000-00008F060000}"/>
    <cellStyle name="Currency 7 4" xfId="1700" xr:uid="{00000000-0005-0000-0000-000090060000}"/>
    <cellStyle name="Currency 7 5" xfId="1701" xr:uid="{00000000-0005-0000-0000-000091060000}"/>
    <cellStyle name="Currency 8" xfId="488" xr:uid="{00000000-0005-0000-0000-000092060000}"/>
    <cellStyle name="Currency 8 2" xfId="742" xr:uid="{00000000-0005-0000-0000-000093060000}"/>
    <cellStyle name="Currency 8 2 2" xfId="4396" xr:uid="{00000000-0005-0000-0000-000094060000}"/>
    <cellStyle name="Currency 8 3" xfId="1702" xr:uid="{00000000-0005-0000-0000-000095060000}"/>
    <cellStyle name="Currency 8 4" xfId="3801" xr:uid="{00000000-0005-0000-0000-000096060000}"/>
    <cellStyle name="Currency 9" xfId="864" xr:uid="{00000000-0005-0000-0000-000097060000}"/>
    <cellStyle name="Currency 9 10" xfId="4706" xr:uid="{00000000-0005-0000-0000-000098060000}"/>
    <cellStyle name="Currency 9 2" xfId="1703" xr:uid="{00000000-0005-0000-0000-000099060000}"/>
    <cellStyle name="Currency 9 2 10" xfId="4397" xr:uid="{00000000-0005-0000-0000-00009A060000}"/>
    <cellStyle name="Currency 9 2 11" xfId="4707" xr:uid="{00000000-0005-0000-0000-00009B060000}"/>
    <cellStyle name="Currency 9 2 2" xfId="1704" xr:uid="{00000000-0005-0000-0000-00009C060000}"/>
    <cellStyle name="Currency 9 2 2 2" xfId="1705" xr:uid="{00000000-0005-0000-0000-00009D060000}"/>
    <cellStyle name="Currency 9 2 2 2 2" xfId="1706" xr:uid="{00000000-0005-0000-0000-00009E060000}"/>
    <cellStyle name="Currency 9 2 2 2 2 2" xfId="1707" xr:uid="{00000000-0005-0000-0000-00009F060000}"/>
    <cellStyle name="Currency 9 2 2 2 2 2 2" xfId="1708" xr:uid="{00000000-0005-0000-0000-0000A0060000}"/>
    <cellStyle name="Currency 9 2 2 2 2 2 2 2" xfId="5360" xr:uid="{00000000-0005-0000-0000-0000A1060000}"/>
    <cellStyle name="Currency 9 2 2 2 2 2 3" xfId="4937" xr:uid="{00000000-0005-0000-0000-0000A2060000}"/>
    <cellStyle name="Currency 9 2 2 2 2 3" xfId="1709" xr:uid="{00000000-0005-0000-0000-0000A3060000}"/>
    <cellStyle name="Currency 9 2 2 2 2 3 2" xfId="5231" xr:uid="{00000000-0005-0000-0000-0000A4060000}"/>
    <cellStyle name="Currency 9 2 2 2 2 4" xfId="4805" xr:uid="{00000000-0005-0000-0000-0000A5060000}"/>
    <cellStyle name="Currency 9 2 2 2 3" xfId="1710" xr:uid="{00000000-0005-0000-0000-0000A6060000}"/>
    <cellStyle name="Currency 9 2 2 2 3 2" xfId="1711" xr:uid="{00000000-0005-0000-0000-0000A7060000}"/>
    <cellStyle name="Currency 9 2 2 2 3 2 2" xfId="5359" xr:uid="{00000000-0005-0000-0000-0000A8060000}"/>
    <cellStyle name="Currency 9 2 2 2 3 3" xfId="4936" xr:uid="{00000000-0005-0000-0000-0000A9060000}"/>
    <cellStyle name="Currency 9 2 2 2 4" xfId="1712" xr:uid="{00000000-0005-0000-0000-0000AA060000}"/>
    <cellStyle name="Currency 9 2 2 2 4 2" xfId="5191" xr:uid="{00000000-0005-0000-0000-0000AB060000}"/>
    <cellStyle name="Currency 9 2 2 2 5" xfId="4762" xr:uid="{00000000-0005-0000-0000-0000AC060000}"/>
    <cellStyle name="Currency 9 2 2 3" xfId="1713" xr:uid="{00000000-0005-0000-0000-0000AD060000}"/>
    <cellStyle name="Currency 9 2 2 3 2" xfId="1714" xr:uid="{00000000-0005-0000-0000-0000AE060000}"/>
    <cellStyle name="Currency 9 2 2 3 2 2" xfId="1715" xr:uid="{00000000-0005-0000-0000-0000AF060000}"/>
    <cellStyle name="Currency 9 2 2 3 2 2 2" xfId="5361" xr:uid="{00000000-0005-0000-0000-0000B0060000}"/>
    <cellStyle name="Currency 9 2 2 3 2 3" xfId="4938" xr:uid="{00000000-0005-0000-0000-0000B1060000}"/>
    <cellStyle name="Currency 9 2 2 3 3" xfId="1716" xr:uid="{00000000-0005-0000-0000-0000B2060000}"/>
    <cellStyle name="Currency 9 2 2 3 3 2" xfId="5253" xr:uid="{00000000-0005-0000-0000-0000B3060000}"/>
    <cellStyle name="Currency 9 2 2 3 4" xfId="4828" xr:uid="{00000000-0005-0000-0000-0000B4060000}"/>
    <cellStyle name="Currency 9 2 2 4" xfId="1717" xr:uid="{00000000-0005-0000-0000-0000B5060000}"/>
    <cellStyle name="Currency 9 2 2 4 2" xfId="1718" xr:uid="{00000000-0005-0000-0000-0000B6060000}"/>
    <cellStyle name="Currency 9 2 2 4 2 2" xfId="1719" xr:uid="{00000000-0005-0000-0000-0000B7060000}"/>
    <cellStyle name="Currency 9 2 2 4 2 2 2" xfId="5362" xr:uid="{00000000-0005-0000-0000-0000B8060000}"/>
    <cellStyle name="Currency 9 2 2 4 2 3" xfId="4939" xr:uid="{00000000-0005-0000-0000-0000B9060000}"/>
    <cellStyle name="Currency 9 2 2 4 3" xfId="1720" xr:uid="{00000000-0005-0000-0000-0000BA060000}"/>
    <cellStyle name="Currency 9 2 2 4 3 2" xfId="5215" xr:uid="{00000000-0005-0000-0000-0000BB060000}"/>
    <cellStyle name="Currency 9 2 2 4 4" xfId="4789" xr:uid="{00000000-0005-0000-0000-0000BC060000}"/>
    <cellStyle name="Currency 9 2 2 5" xfId="1721" xr:uid="{00000000-0005-0000-0000-0000BD060000}"/>
    <cellStyle name="Currency 9 2 2 5 2" xfId="1722" xr:uid="{00000000-0005-0000-0000-0000BE060000}"/>
    <cellStyle name="Currency 9 2 2 5 2 2" xfId="1723" xr:uid="{00000000-0005-0000-0000-0000BF060000}"/>
    <cellStyle name="Currency 9 2 2 5 2 2 2" xfId="5363" xr:uid="{00000000-0005-0000-0000-0000C0060000}"/>
    <cellStyle name="Currency 9 2 2 5 2 3" xfId="4940" xr:uid="{00000000-0005-0000-0000-0000C1060000}"/>
    <cellStyle name="Currency 9 2 2 5 3" xfId="1724" xr:uid="{00000000-0005-0000-0000-0000C2060000}"/>
    <cellStyle name="Currency 9 2 2 5 3 2" xfId="5289" xr:uid="{00000000-0005-0000-0000-0000C3060000}"/>
    <cellStyle name="Currency 9 2 2 5 4" xfId="4866" xr:uid="{00000000-0005-0000-0000-0000C4060000}"/>
    <cellStyle name="Currency 9 2 2 6" xfId="1725" xr:uid="{00000000-0005-0000-0000-0000C5060000}"/>
    <cellStyle name="Currency 9 2 2 6 2" xfId="1726" xr:uid="{00000000-0005-0000-0000-0000C6060000}"/>
    <cellStyle name="Currency 9 2 2 6 2 2" xfId="1727" xr:uid="{00000000-0005-0000-0000-0000C7060000}"/>
    <cellStyle name="Currency 9 2 2 6 2 2 2" xfId="5364" xr:uid="{00000000-0005-0000-0000-0000C8060000}"/>
    <cellStyle name="Currency 9 2 2 6 2 3" xfId="4941" xr:uid="{00000000-0005-0000-0000-0000C9060000}"/>
    <cellStyle name="Currency 9 2 2 6 3" xfId="1728" xr:uid="{00000000-0005-0000-0000-0000CA060000}"/>
    <cellStyle name="Currency 9 2 2 6 3 2" xfId="5175" xr:uid="{00000000-0005-0000-0000-0000CB060000}"/>
    <cellStyle name="Currency 9 2 2 6 4" xfId="4746" xr:uid="{00000000-0005-0000-0000-0000CC060000}"/>
    <cellStyle name="Currency 9 2 2 7" xfId="1729" xr:uid="{00000000-0005-0000-0000-0000CD060000}"/>
    <cellStyle name="Currency 9 2 2 7 2" xfId="1730" xr:uid="{00000000-0005-0000-0000-0000CE060000}"/>
    <cellStyle name="Currency 9 2 2 7 2 2" xfId="5358" xr:uid="{00000000-0005-0000-0000-0000CF060000}"/>
    <cellStyle name="Currency 9 2 2 7 3" xfId="4935" xr:uid="{00000000-0005-0000-0000-0000D0060000}"/>
    <cellStyle name="Currency 9 2 2 8" xfId="1731" xr:uid="{00000000-0005-0000-0000-0000D1060000}"/>
    <cellStyle name="Currency 9 2 2 8 2" xfId="5151" xr:uid="{00000000-0005-0000-0000-0000D2060000}"/>
    <cellStyle name="Currency 9 2 2 9" xfId="4708" xr:uid="{00000000-0005-0000-0000-0000D3060000}"/>
    <cellStyle name="Currency 9 2 3" xfId="1732" xr:uid="{00000000-0005-0000-0000-0000D4060000}"/>
    <cellStyle name="Currency 9 2 3 2" xfId="1733" xr:uid="{00000000-0005-0000-0000-0000D5060000}"/>
    <cellStyle name="Currency 9 2 3 2 2" xfId="1734" xr:uid="{00000000-0005-0000-0000-0000D6060000}"/>
    <cellStyle name="Currency 9 2 3 2 2 2" xfId="1735" xr:uid="{00000000-0005-0000-0000-0000D7060000}"/>
    <cellStyle name="Currency 9 2 3 2 2 2 2" xfId="5366" xr:uid="{00000000-0005-0000-0000-0000D8060000}"/>
    <cellStyle name="Currency 9 2 3 2 2 3" xfId="4943" xr:uid="{00000000-0005-0000-0000-0000D9060000}"/>
    <cellStyle name="Currency 9 2 3 2 3" xfId="1736" xr:uid="{00000000-0005-0000-0000-0000DA060000}"/>
    <cellStyle name="Currency 9 2 3 2 3 2" xfId="5230" xr:uid="{00000000-0005-0000-0000-0000DB060000}"/>
    <cellStyle name="Currency 9 2 3 2 4" xfId="4804" xr:uid="{00000000-0005-0000-0000-0000DC060000}"/>
    <cellStyle name="Currency 9 2 3 3" xfId="1737" xr:uid="{00000000-0005-0000-0000-0000DD060000}"/>
    <cellStyle name="Currency 9 2 3 3 2" xfId="1738" xr:uid="{00000000-0005-0000-0000-0000DE060000}"/>
    <cellStyle name="Currency 9 2 3 3 2 2" xfId="5365" xr:uid="{00000000-0005-0000-0000-0000DF060000}"/>
    <cellStyle name="Currency 9 2 3 3 3" xfId="4942" xr:uid="{00000000-0005-0000-0000-0000E0060000}"/>
    <cellStyle name="Currency 9 2 3 4" xfId="1739" xr:uid="{00000000-0005-0000-0000-0000E1060000}"/>
    <cellStyle name="Currency 9 2 3 4 2" xfId="5190" xr:uid="{00000000-0005-0000-0000-0000E2060000}"/>
    <cellStyle name="Currency 9 2 3 5" xfId="4761" xr:uid="{00000000-0005-0000-0000-0000E3060000}"/>
    <cellStyle name="Currency 9 2 4" xfId="1740" xr:uid="{00000000-0005-0000-0000-0000E4060000}"/>
    <cellStyle name="Currency 9 2 4 2" xfId="1741" xr:uid="{00000000-0005-0000-0000-0000E5060000}"/>
    <cellStyle name="Currency 9 2 4 2 2" xfId="1742" xr:uid="{00000000-0005-0000-0000-0000E6060000}"/>
    <cellStyle name="Currency 9 2 4 2 2 2" xfId="5367" xr:uid="{00000000-0005-0000-0000-0000E7060000}"/>
    <cellStyle name="Currency 9 2 4 2 3" xfId="4944" xr:uid="{00000000-0005-0000-0000-0000E8060000}"/>
    <cellStyle name="Currency 9 2 4 3" xfId="1743" xr:uid="{00000000-0005-0000-0000-0000E9060000}"/>
    <cellStyle name="Currency 9 2 4 3 2" xfId="5252" xr:uid="{00000000-0005-0000-0000-0000EA060000}"/>
    <cellStyle name="Currency 9 2 4 4" xfId="4827" xr:uid="{00000000-0005-0000-0000-0000EB060000}"/>
    <cellStyle name="Currency 9 2 5" xfId="1744" xr:uid="{00000000-0005-0000-0000-0000EC060000}"/>
    <cellStyle name="Currency 9 2 5 2" xfId="1745" xr:uid="{00000000-0005-0000-0000-0000ED060000}"/>
    <cellStyle name="Currency 9 2 5 2 2" xfId="1746" xr:uid="{00000000-0005-0000-0000-0000EE060000}"/>
    <cellStyle name="Currency 9 2 5 2 2 2" xfId="5368" xr:uid="{00000000-0005-0000-0000-0000EF060000}"/>
    <cellStyle name="Currency 9 2 5 2 3" xfId="4945" xr:uid="{00000000-0005-0000-0000-0000F0060000}"/>
    <cellStyle name="Currency 9 2 5 3" xfId="1747" xr:uid="{00000000-0005-0000-0000-0000F1060000}"/>
    <cellStyle name="Currency 9 2 5 3 2" xfId="5214" xr:uid="{00000000-0005-0000-0000-0000F2060000}"/>
    <cellStyle name="Currency 9 2 5 4" xfId="4788" xr:uid="{00000000-0005-0000-0000-0000F3060000}"/>
    <cellStyle name="Currency 9 2 6" xfId="1748" xr:uid="{00000000-0005-0000-0000-0000F4060000}"/>
    <cellStyle name="Currency 9 2 6 2" xfId="1749" xr:uid="{00000000-0005-0000-0000-0000F5060000}"/>
    <cellStyle name="Currency 9 2 6 2 2" xfId="1750" xr:uid="{00000000-0005-0000-0000-0000F6060000}"/>
    <cellStyle name="Currency 9 2 6 2 2 2" xfId="5369" xr:uid="{00000000-0005-0000-0000-0000F7060000}"/>
    <cellStyle name="Currency 9 2 6 2 3" xfId="4946" xr:uid="{00000000-0005-0000-0000-0000F8060000}"/>
    <cellStyle name="Currency 9 2 6 3" xfId="1751" xr:uid="{00000000-0005-0000-0000-0000F9060000}"/>
    <cellStyle name="Currency 9 2 6 3 2" xfId="5288" xr:uid="{00000000-0005-0000-0000-0000FA060000}"/>
    <cellStyle name="Currency 9 2 6 4" xfId="4865" xr:uid="{00000000-0005-0000-0000-0000FB060000}"/>
    <cellStyle name="Currency 9 2 7" xfId="1752" xr:uid="{00000000-0005-0000-0000-0000FC060000}"/>
    <cellStyle name="Currency 9 2 7 2" xfId="1753" xr:uid="{00000000-0005-0000-0000-0000FD060000}"/>
    <cellStyle name="Currency 9 2 7 2 2" xfId="1754" xr:uid="{00000000-0005-0000-0000-0000FE060000}"/>
    <cellStyle name="Currency 9 2 7 2 2 2" xfId="5370" xr:uid="{00000000-0005-0000-0000-0000FF060000}"/>
    <cellStyle name="Currency 9 2 7 2 3" xfId="4947" xr:uid="{00000000-0005-0000-0000-000000070000}"/>
    <cellStyle name="Currency 9 2 7 3" xfId="1755" xr:uid="{00000000-0005-0000-0000-000001070000}"/>
    <cellStyle name="Currency 9 2 7 3 2" xfId="5174" xr:uid="{00000000-0005-0000-0000-000002070000}"/>
    <cellStyle name="Currency 9 2 7 4" xfId="4745" xr:uid="{00000000-0005-0000-0000-000003070000}"/>
    <cellStyle name="Currency 9 2 8" xfId="1756" xr:uid="{00000000-0005-0000-0000-000004070000}"/>
    <cellStyle name="Currency 9 2 8 2" xfId="1757" xr:uid="{00000000-0005-0000-0000-000005070000}"/>
    <cellStyle name="Currency 9 2 8 2 2" xfId="5357" xr:uid="{00000000-0005-0000-0000-000006070000}"/>
    <cellStyle name="Currency 9 2 8 3" xfId="4934" xr:uid="{00000000-0005-0000-0000-000007070000}"/>
    <cellStyle name="Currency 9 2 9" xfId="1758" xr:uid="{00000000-0005-0000-0000-000008070000}"/>
    <cellStyle name="Currency 9 2 9 2" xfId="5150" xr:uid="{00000000-0005-0000-0000-000009070000}"/>
    <cellStyle name="Currency 9 3" xfId="1759" xr:uid="{00000000-0005-0000-0000-00000A070000}"/>
    <cellStyle name="Currency 9 3 2" xfId="1760" xr:uid="{00000000-0005-0000-0000-00000B070000}"/>
    <cellStyle name="Currency 9 3 2 2" xfId="1761" xr:uid="{00000000-0005-0000-0000-00000C070000}"/>
    <cellStyle name="Currency 9 3 2 2 2" xfId="1762" xr:uid="{00000000-0005-0000-0000-00000D070000}"/>
    <cellStyle name="Currency 9 3 2 2 2 2" xfId="1763" xr:uid="{00000000-0005-0000-0000-00000E070000}"/>
    <cellStyle name="Currency 9 3 2 2 2 2 2" xfId="5373" xr:uid="{00000000-0005-0000-0000-00000F070000}"/>
    <cellStyle name="Currency 9 3 2 2 2 3" xfId="4950" xr:uid="{00000000-0005-0000-0000-000010070000}"/>
    <cellStyle name="Currency 9 3 2 2 3" xfId="1764" xr:uid="{00000000-0005-0000-0000-000011070000}"/>
    <cellStyle name="Currency 9 3 2 2 3 2" xfId="5232" xr:uid="{00000000-0005-0000-0000-000012070000}"/>
    <cellStyle name="Currency 9 3 2 2 4" xfId="4806" xr:uid="{00000000-0005-0000-0000-000013070000}"/>
    <cellStyle name="Currency 9 3 2 3" xfId="1765" xr:uid="{00000000-0005-0000-0000-000014070000}"/>
    <cellStyle name="Currency 9 3 2 3 2" xfId="1766" xr:uid="{00000000-0005-0000-0000-000015070000}"/>
    <cellStyle name="Currency 9 3 2 3 2 2" xfId="5372" xr:uid="{00000000-0005-0000-0000-000016070000}"/>
    <cellStyle name="Currency 9 3 2 3 3" xfId="4949" xr:uid="{00000000-0005-0000-0000-000017070000}"/>
    <cellStyle name="Currency 9 3 2 4" xfId="1767" xr:uid="{00000000-0005-0000-0000-000018070000}"/>
    <cellStyle name="Currency 9 3 2 4 2" xfId="5192" xr:uid="{00000000-0005-0000-0000-000019070000}"/>
    <cellStyle name="Currency 9 3 2 5" xfId="4763" xr:uid="{00000000-0005-0000-0000-00001A070000}"/>
    <cellStyle name="Currency 9 3 3" xfId="1768" xr:uid="{00000000-0005-0000-0000-00001B070000}"/>
    <cellStyle name="Currency 9 3 3 2" xfId="1769" xr:uid="{00000000-0005-0000-0000-00001C070000}"/>
    <cellStyle name="Currency 9 3 3 2 2" xfId="1770" xr:uid="{00000000-0005-0000-0000-00001D070000}"/>
    <cellStyle name="Currency 9 3 3 2 2 2" xfId="5374" xr:uid="{00000000-0005-0000-0000-00001E070000}"/>
    <cellStyle name="Currency 9 3 3 2 3" xfId="4951" xr:uid="{00000000-0005-0000-0000-00001F070000}"/>
    <cellStyle name="Currency 9 3 3 3" xfId="1771" xr:uid="{00000000-0005-0000-0000-000020070000}"/>
    <cellStyle name="Currency 9 3 3 3 2" xfId="5254" xr:uid="{00000000-0005-0000-0000-000021070000}"/>
    <cellStyle name="Currency 9 3 3 4" xfId="4829" xr:uid="{00000000-0005-0000-0000-000022070000}"/>
    <cellStyle name="Currency 9 3 4" xfId="1772" xr:uid="{00000000-0005-0000-0000-000023070000}"/>
    <cellStyle name="Currency 9 3 4 2" xfId="1773" xr:uid="{00000000-0005-0000-0000-000024070000}"/>
    <cellStyle name="Currency 9 3 4 2 2" xfId="1774" xr:uid="{00000000-0005-0000-0000-000025070000}"/>
    <cellStyle name="Currency 9 3 4 2 2 2" xfId="5375" xr:uid="{00000000-0005-0000-0000-000026070000}"/>
    <cellStyle name="Currency 9 3 4 2 3" xfId="4952" xr:uid="{00000000-0005-0000-0000-000027070000}"/>
    <cellStyle name="Currency 9 3 4 3" xfId="1775" xr:uid="{00000000-0005-0000-0000-000028070000}"/>
    <cellStyle name="Currency 9 3 4 3 2" xfId="5216" xr:uid="{00000000-0005-0000-0000-000029070000}"/>
    <cellStyle name="Currency 9 3 4 4" xfId="4790" xr:uid="{00000000-0005-0000-0000-00002A070000}"/>
    <cellStyle name="Currency 9 3 5" xfId="1776" xr:uid="{00000000-0005-0000-0000-00002B070000}"/>
    <cellStyle name="Currency 9 3 5 2" xfId="1777" xr:uid="{00000000-0005-0000-0000-00002C070000}"/>
    <cellStyle name="Currency 9 3 5 2 2" xfId="1778" xr:uid="{00000000-0005-0000-0000-00002D070000}"/>
    <cellStyle name="Currency 9 3 5 2 2 2" xfId="5376" xr:uid="{00000000-0005-0000-0000-00002E070000}"/>
    <cellStyle name="Currency 9 3 5 2 3" xfId="4953" xr:uid="{00000000-0005-0000-0000-00002F070000}"/>
    <cellStyle name="Currency 9 3 5 3" xfId="1779" xr:uid="{00000000-0005-0000-0000-000030070000}"/>
    <cellStyle name="Currency 9 3 5 3 2" xfId="5290" xr:uid="{00000000-0005-0000-0000-000031070000}"/>
    <cellStyle name="Currency 9 3 5 4" xfId="4867" xr:uid="{00000000-0005-0000-0000-000032070000}"/>
    <cellStyle name="Currency 9 3 6" xfId="1780" xr:uid="{00000000-0005-0000-0000-000033070000}"/>
    <cellStyle name="Currency 9 3 6 2" xfId="1781" xr:uid="{00000000-0005-0000-0000-000034070000}"/>
    <cellStyle name="Currency 9 3 6 2 2" xfId="1782" xr:uid="{00000000-0005-0000-0000-000035070000}"/>
    <cellStyle name="Currency 9 3 6 2 2 2" xfId="5377" xr:uid="{00000000-0005-0000-0000-000036070000}"/>
    <cellStyle name="Currency 9 3 6 2 3" xfId="4954" xr:uid="{00000000-0005-0000-0000-000037070000}"/>
    <cellStyle name="Currency 9 3 6 3" xfId="1783" xr:uid="{00000000-0005-0000-0000-000038070000}"/>
    <cellStyle name="Currency 9 3 6 3 2" xfId="5176" xr:uid="{00000000-0005-0000-0000-000039070000}"/>
    <cellStyle name="Currency 9 3 6 4" xfId="4747" xr:uid="{00000000-0005-0000-0000-00003A070000}"/>
    <cellStyle name="Currency 9 3 7" xfId="1784" xr:uid="{00000000-0005-0000-0000-00003B070000}"/>
    <cellStyle name="Currency 9 3 7 2" xfId="1785" xr:uid="{00000000-0005-0000-0000-00003C070000}"/>
    <cellStyle name="Currency 9 3 7 2 2" xfId="5371" xr:uid="{00000000-0005-0000-0000-00003D070000}"/>
    <cellStyle name="Currency 9 3 7 3" xfId="4948" xr:uid="{00000000-0005-0000-0000-00003E070000}"/>
    <cellStyle name="Currency 9 3 8" xfId="1786" xr:uid="{00000000-0005-0000-0000-00003F070000}"/>
    <cellStyle name="Currency 9 3 8 2" xfId="5152" xr:uid="{00000000-0005-0000-0000-000040070000}"/>
    <cellStyle name="Currency 9 3 9" xfId="4709" xr:uid="{00000000-0005-0000-0000-000041070000}"/>
    <cellStyle name="Currency 9 4" xfId="1787" xr:uid="{00000000-0005-0000-0000-000042070000}"/>
    <cellStyle name="Currency 9 4 2" xfId="1788" xr:uid="{00000000-0005-0000-0000-000043070000}"/>
    <cellStyle name="Currency 9 4 2 2" xfId="1789" xr:uid="{00000000-0005-0000-0000-000044070000}"/>
    <cellStyle name="Currency 9 4 2 2 2" xfId="5378" xr:uid="{00000000-0005-0000-0000-000045070000}"/>
    <cellStyle name="Currency 9 4 2 3" xfId="4955" xr:uid="{00000000-0005-0000-0000-000046070000}"/>
    <cellStyle name="Currency 9 4 3" xfId="1790" xr:uid="{00000000-0005-0000-0000-000047070000}"/>
    <cellStyle name="Currency 9 4 3 2" xfId="5251" xr:uid="{00000000-0005-0000-0000-000048070000}"/>
    <cellStyle name="Currency 9 4 4" xfId="4826" xr:uid="{00000000-0005-0000-0000-000049070000}"/>
    <cellStyle name="Currency 9 5" xfId="1791" xr:uid="{00000000-0005-0000-0000-00004A070000}"/>
    <cellStyle name="Currency 9 5 2" xfId="1792" xr:uid="{00000000-0005-0000-0000-00004B070000}"/>
    <cellStyle name="Currency 9 5 2 2" xfId="1793" xr:uid="{00000000-0005-0000-0000-00004C070000}"/>
    <cellStyle name="Currency 9 5 2 2 2" xfId="5379" xr:uid="{00000000-0005-0000-0000-00004D070000}"/>
    <cellStyle name="Currency 9 5 2 3" xfId="4956" xr:uid="{00000000-0005-0000-0000-00004E070000}"/>
    <cellStyle name="Currency 9 5 3" xfId="1794" xr:uid="{00000000-0005-0000-0000-00004F070000}"/>
    <cellStyle name="Currency 9 5 3 2" xfId="5287" xr:uid="{00000000-0005-0000-0000-000050070000}"/>
    <cellStyle name="Currency 9 5 4" xfId="4864" xr:uid="{00000000-0005-0000-0000-000051070000}"/>
    <cellStyle name="Currency 9 6" xfId="1795" xr:uid="{00000000-0005-0000-0000-000052070000}"/>
    <cellStyle name="Currency 9 6 2" xfId="1796" xr:uid="{00000000-0005-0000-0000-000053070000}"/>
    <cellStyle name="Currency 9 7" xfId="1797" xr:uid="{00000000-0005-0000-0000-000054070000}"/>
    <cellStyle name="Currency 9 7 2" xfId="1798" xr:uid="{00000000-0005-0000-0000-000055070000}"/>
    <cellStyle name="Currency 9 7 2 2" xfId="5356" xr:uid="{00000000-0005-0000-0000-000056070000}"/>
    <cellStyle name="Currency 9 7 3" xfId="4933" xr:uid="{00000000-0005-0000-0000-000057070000}"/>
    <cellStyle name="Currency 9 8" xfId="1799" xr:uid="{00000000-0005-0000-0000-000058070000}"/>
    <cellStyle name="Currency 9 9" xfId="1800" xr:uid="{00000000-0005-0000-0000-000059070000}"/>
    <cellStyle name="Currency 9 9 2" xfId="5149" xr:uid="{00000000-0005-0000-0000-00005A070000}"/>
    <cellStyle name="Currency0" xfId="1801" xr:uid="{00000000-0005-0000-0000-00005B070000}"/>
    <cellStyle name="Currency0 2" xfId="3930" xr:uid="{00000000-0005-0000-0000-00005C070000}"/>
    <cellStyle name="Date" xfId="1802" xr:uid="{00000000-0005-0000-0000-00005D070000}"/>
    <cellStyle name="Date 2" xfId="1803" xr:uid="{00000000-0005-0000-0000-00005E070000}"/>
    <cellStyle name="Date 2 2" xfId="1804" xr:uid="{00000000-0005-0000-0000-00005F070000}"/>
    <cellStyle name="Date 3" xfId="1805" xr:uid="{00000000-0005-0000-0000-000060070000}"/>
    <cellStyle name="Date 3 2" xfId="1806" xr:uid="{00000000-0005-0000-0000-000061070000}"/>
    <cellStyle name="Date 3 3" xfId="1807" xr:uid="{00000000-0005-0000-0000-000062070000}"/>
    <cellStyle name="Date 4" xfId="1808" xr:uid="{00000000-0005-0000-0000-000063070000}"/>
    <cellStyle name="Date Aligned" xfId="1809" xr:uid="{00000000-0005-0000-0000-000064070000}"/>
    <cellStyle name="Date_Augmentation" xfId="1810" xr:uid="{00000000-0005-0000-0000-000065070000}"/>
    <cellStyle name="Dotted Line" xfId="1811" xr:uid="{00000000-0005-0000-0000-000066070000}"/>
    <cellStyle name="Entered" xfId="1812" xr:uid="{00000000-0005-0000-0000-000067070000}"/>
    <cellStyle name="Entered 2" xfId="3931" xr:uid="{00000000-0005-0000-0000-000068070000}"/>
    <cellStyle name="Euro" xfId="244" xr:uid="{00000000-0005-0000-0000-000069070000}"/>
    <cellStyle name="Euro 2" xfId="1813" xr:uid="{00000000-0005-0000-0000-00006A070000}"/>
    <cellStyle name="Euro 2 2" xfId="1814" xr:uid="{00000000-0005-0000-0000-00006B070000}"/>
    <cellStyle name="Explanatory Text" xfId="4611" builtinId="53" customBuiltin="1"/>
    <cellStyle name="Explanatory Text 2" xfId="245" xr:uid="{00000000-0005-0000-0000-00006D070000}"/>
    <cellStyle name="Explanatory Text 2 2" xfId="246" xr:uid="{00000000-0005-0000-0000-00006E070000}"/>
    <cellStyle name="Explanatory Text 2 2 2" xfId="1815" xr:uid="{00000000-0005-0000-0000-00006F070000}"/>
    <cellStyle name="Explanatory Text 2 2 2 2" xfId="1816" xr:uid="{00000000-0005-0000-0000-000070070000}"/>
    <cellStyle name="Explanatory Text 2 2 3" xfId="1817" xr:uid="{00000000-0005-0000-0000-000071070000}"/>
    <cellStyle name="Explanatory Text 2 2 3 2" xfId="1818" xr:uid="{00000000-0005-0000-0000-000072070000}"/>
    <cellStyle name="Explanatory Text 2 2 4" xfId="1819" xr:uid="{00000000-0005-0000-0000-000073070000}"/>
    <cellStyle name="Explanatory Text 2 2 5" xfId="1820" xr:uid="{00000000-0005-0000-0000-000074070000}"/>
    <cellStyle name="Explanatory Text 2 3" xfId="247" xr:uid="{00000000-0005-0000-0000-000075070000}"/>
    <cellStyle name="Explanatory Text 2 3 2" xfId="3676" xr:uid="{00000000-0005-0000-0000-000076070000}"/>
    <cellStyle name="Explanatory Text 2 4" xfId="1821" xr:uid="{00000000-0005-0000-0000-000077070000}"/>
    <cellStyle name="Explanatory Text 2 5" xfId="1822" xr:uid="{00000000-0005-0000-0000-000078070000}"/>
    <cellStyle name="Explanatory Text 2 5 2" xfId="3677" xr:uid="{00000000-0005-0000-0000-000079070000}"/>
    <cellStyle name="Explanatory Text 2_QC Sheet" xfId="1823" xr:uid="{00000000-0005-0000-0000-00007A070000}"/>
    <cellStyle name="Explanatory Text 3" xfId="248" xr:uid="{00000000-0005-0000-0000-00007B070000}"/>
    <cellStyle name="Explanatory Text 3 2" xfId="1824" xr:uid="{00000000-0005-0000-0000-00007C070000}"/>
    <cellStyle name="Explanatory Text 4" xfId="249" xr:uid="{00000000-0005-0000-0000-00007D070000}"/>
    <cellStyle name="Explanatory Text 4 2" xfId="1825" xr:uid="{00000000-0005-0000-0000-00007E070000}"/>
    <cellStyle name="Explanatory Text 4 3" xfId="4666" xr:uid="{00000000-0005-0000-0000-00007F070000}"/>
    <cellStyle name="Explanatory Text 5" xfId="1826" xr:uid="{00000000-0005-0000-0000-000080070000}"/>
    <cellStyle name="Explanatory Text 6" xfId="1827" xr:uid="{00000000-0005-0000-0000-000081070000}"/>
    <cellStyle name="Explanatory Text 7" xfId="1828" xr:uid="{00000000-0005-0000-0000-000082070000}"/>
    <cellStyle name="Explanatory Text 7 2" xfId="1829" xr:uid="{00000000-0005-0000-0000-000083070000}"/>
    <cellStyle name="F2" xfId="1830" xr:uid="{00000000-0005-0000-0000-000084070000}"/>
    <cellStyle name="F2 2" xfId="1831" xr:uid="{00000000-0005-0000-0000-000085070000}"/>
    <cellStyle name="F2 2 2" xfId="1832" xr:uid="{00000000-0005-0000-0000-000086070000}"/>
    <cellStyle name="F3" xfId="1833" xr:uid="{00000000-0005-0000-0000-000087070000}"/>
    <cellStyle name="F3 2" xfId="1834" xr:uid="{00000000-0005-0000-0000-000088070000}"/>
    <cellStyle name="F3 3" xfId="1835" xr:uid="{00000000-0005-0000-0000-000089070000}"/>
    <cellStyle name="F3 3 2" xfId="1836" xr:uid="{00000000-0005-0000-0000-00008A070000}"/>
    <cellStyle name="F4" xfId="1837" xr:uid="{00000000-0005-0000-0000-00008B070000}"/>
    <cellStyle name="F4 2" xfId="1838" xr:uid="{00000000-0005-0000-0000-00008C070000}"/>
    <cellStyle name="F4 2 2" xfId="1839" xr:uid="{00000000-0005-0000-0000-00008D070000}"/>
    <cellStyle name="F5" xfId="1840" xr:uid="{00000000-0005-0000-0000-00008E070000}"/>
    <cellStyle name="F5 2" xfId="1841" xr:uid="{00000000-0005-0000-0000-00008F070000}"/>
    <cellStyle name="F5 2 2" xfId="1842" xr:uid="{00000000-0005-0000-0000-000090070000}"/>
    <cellStyle name="F5 3" xfId="1843" xr:uid="{00000000-0005-0000-0000-000091070000}"/>
    <cellStyle name="F5 3 2" xfId="1844" xr:uid="{00000000-0005-0000-0000-000092070000}"/>
    <cellStyle name="F5 3 2 2" xfId="1845" xr:uid="{00000000-0005-0000-0000-000093070000}"/>
    <cellStyle name="F5 3 3" xfId="1846" xr:uid="{00000000-0005-0000-0000-000094070000}"/>
    <cellStyle name="F5 4" xfId="1847" xr:uid="{00000000-0005-0000-0000-000095070000}"/>
    <cellStyle name="F6" xfId="1848" xr:uid="{00000000-0005-0000-0000-000096070000}"/>
    <cellStyle name="F6 2" xfId="1849" xr:uid="{00000000-0005-0000-0000-000097070000}"/>
    <cellStyle name="F6 2 2" xfId="1850" xr:uid="{00000000-0005-0000-0000-000098070000}"/>
    <cellStyle name="F7" xfId="1851" xr:uid="{00000000-0005-0000-0000-000099070000}"/>
    <cellStyle name="F7 2" xfId="1852" xr:uid="{00000000-0005-0000-0000-00009A070000}"/>
    <cellStyle name="F7 3" xfId="1853" xr:uid="{00000000-0005-0000-0000-00009B070000}"/>
    <cellStyle name="F7 3 2" xfId="1854" xr:uid="{00000000-0005-0000-0000-00009C070000}"/>
    <cellStyle name="F8" xfId="1855" xr:uid="{00000000-0005-0000-0000-00009D070000}"/>
    <cellStyle name="F8 2" xfId="1856" xr:uid="{00000000-0005-0000-0000-00009E070000}"/>
    <cellStyle name="F8 2 2" xfId="1857" xr:uid="{00000000-0005-0000-0000-00009F070000}"/>
    <cellStyle name="Fixed" xfId="1858" xr:uid="{00000000-0005-0000-0000-0000A0070000}"/>
    <cellStyle name="Fixed 2" xfId="1859" xr:uid="{00000000-0005-0000-0000-0000A1070000}"/>
    <cellStyle name="Fixed 2 2" xfId="1860" xr:uid="{00000000-0005-0000-0000-0000A2070000}"/>
    <cellStyle name="Fixed 3" xfId="1861" xr:uid="{00000000-0005-0000-0000-0000A3070000}"/>
    <cellStyle name="Fixed 3 2" xfId="1862" xr:uid="{00000000-0005-0000-0000-0000A4070000}"/>
    <cellStyle name="Fixed 4" xfId="1863" xr:uid="{00000000-0005-0000-0000-0000A5070000}"/>
    <cellStyle name="Fixed1 - Style1" xfId="1864" xr:uid="{00000000-0005-0000-0000-0000A6070000}"/>
    <cellStyle name="Fixed3 - Style3" xfId="1865" xr:uid="{00000000-0005-0000-0000-0000A7070000}"/>
    <cellStyle name="Footnote" xfId="1866" xr:uid="{00000000-0005-0000-0000-0000A8070000}"/>
    <cellStyle name="Good" xfId="389" builtinId="26" customBuiltin="1"/>
    <cellStyle name="Good 2" xfId="250" xr:uid="{00000000-0005-0000-0000-0000AA070000}"/>
    <cellStyle name="Good 2 2" xfId="251" xr:uid="{00000000-0005-0000-0000-0000AB070000}"/>
    <cellStyle name="Good 2 2 2" xfId="1867" xr:uid="{00000000-0005-0000-0000-0000AC070000}"/>
    <cellStyle name="Good 2 2 2 2" xfId="1868" xr:uid="{00000000-0005-0000-0000-0000AD070000}"/>
    <cellStyle name="Good 2 2 3" xfId="1869" xr:uid="{00000000-0005-0000-0000-0000AE070000}"/>
    <cellStyle name="Good 2 2 3 2" xfId="1870" xr:uid="{00000000-0005-0000-0000-0000AF070000}"/>
    <cellStyle name="Good 2 2 4" xfId="1871" xr:uid="{00000000-0005-0000-0000-0000B0070000}"/>
    <cellStyle name="Good 2 2 5" xfId="1872" xr:uid="{00000000-0005-0000-0000-0000B1070000}"/>
    <cellStyle name="Good 2 3" xfId="252" xr:uid="{00000000-0005-0000-0000-0000B2070000}"/>
    <cellStyle name="Good 2 3 2" xfId="3678" xr:uid="{00000000-0005-0000-0000-0000B3070000}"/>
    <cellStyle name="Good 2 4" xfId="253" xr:uid="{00000000-0005-0000-0000-0000B4070000}"/>
    <cellStyle name="Good 2 4 2" xfId="3679" xr:uid="{00000000-0005-0000-0000-0000B5070000}"/>
    <cellStyle name="Good 2 5" xfId="616" xr:uid="{00000000-0005-0000-0000-0000B6070000}"/>
    <cellStyle name="Good 2 5 2" xfId="3680" xr:uid="{00000000-0005-0000-0000-0000B7070000}"/>
    <cellStyle name="Good 2 5 3" xfId="5067" xr:uid="{00000000-0005-0000-0000-0000B8070000}"/>
    <cellStyle name="Good 2 6" xfId="612" xr:uid="{00000000-0005-0000-0000-0000B9070000}"/>
    <cellStyle name="Good 2_QC Sheet" xfId="1873" xr:uid="{00000000-0005-0000-0000-0000BA070000}"/>
    <cellStyle name="Good 3" xfId="254" xr:uid="{00000000-0005-0000-0000-0000BB070000}"/>
    <cellStyle name="Good 3 2" xfId="255" xr:uid="{00000000-0005-0000-0000-0000BC070000}"/>
    <cellStyle name="Good 3 2 2" xfId="5119" xr:uid="{00000000-0005-0000-0000-0000BD070000}"/>
    <cellStyle name="Good 3 3" xfId="617" xr:uid="{00000000-0005-0000-0000-0000BE070000}"/>
    <cellStyle name="Good 3 4" xfId="608" xr:uid="{00000000-0005-0000-0000-0000BF070000}"/>
    <cellStyle name="Good 3 5" xfId="3681" xr:uid="{00000000-0005-0000-0000-0000C0070000}"/>
    <cellStyle name="Good 3 6" xfId="5514" xr:uid="{00000000-0005-0000-0000-0000C1070000}"/>
    <cellStyle name="Good 4" xfId="256" xr:uid="{00000000-0005-0000-0000-0000C2070000}"/>
    <cellStyle name="Good 4 2" xfId="1874" xr:uid="{00000000-0005-0000-0000-0000C3070000}"/>
    <cellStyle name="Good 4 3" xfId="4667" xr:uid="{00000000-0005-0000-0000-0000C4070000}"/>
    <cellStyle name="Good 5" xfId="257" xr:uid="{00000000-0005-0000-0000-0000C5070000}"/>
    <cellStyle name="Good 5 2" xfId="4690" xr:uid="{00000000-0005-0000-0000-0000C6070000}"/>
    <cellStyle name="Good 6" xfId="1875" xr:uid="{00000000-0005-0000-0000-0000C7070000}"/>
    <cellStyle name="Good 7" xfId="1876" xr:uid="{00000000-0005-0000-0000-0000C8070000}"/>
    <cellStyle name="Good 7 2" xfId="1877" xr:uid="{00000000-0005-0000-0000-0000C9070000}"/>
    <cellStyle name="Good 8" xfId="1878" xr:uid="{00000000-0005-0000-0000-0000CA070000}"/>
    <cellStyle name="Grey" xfId="1879" xr:uid="{00000000-0005-0000-0000-0000CB070000}"/>
    <cellStyle name="Grey 2" xfId="1880" xr:uid="{00000000-0005-0000-0000-0000CC070000}"/>
    <cellStyle name="Hard Percent" xfId="1881" xr:uid="{00000000-0005-0000-0000-0000CD070000}"/>
    <cellStyle name="Header" xfId="1882" xr:uid="{00000000-0005-0000-0000-0000CE070000}"/>
    <cellStyle name="HEADER 2" xfId="1883" xr:uid="{00000000-0005-0000-0000-0000CF070000}"/>
    <cellStyle name="Header 2 2" xfId="1884" xr:uid="{00000000-0005-0000-0000-0000D0070000}"/>
    <cellStyle name="Header1" xfId="1885" xr:uid="{00000000-0005-0000-0000-0000D1070000}"/>
    <cellStyle name="Header2" xfId="1886" xr:uid="{00000000-0005-0000-0000-0000D2070000}"/>
    <cellStyle name="Heading 1" xfId="4601" builtinId="16" customBuiltin="1"/>
    <cellStyle name="Heading 1 2" xfId="258" xr:uid="{00000000-0005-0000-0000-0000D4070000}"/>
    <cellStyle name="Heading 1 2 2" xfId="259" xr:uid="{00000000-0005-0000-0000-0000D5070000}"/>
    <cellStyle name="Heading 1 2 2 2" xfId="1887" xr:uid="{00000000-0005-0000-0000-0000D6070000}"/>
    <cellStyle name="Heading 1 2 2 3" xfId="1888" xr:uid="{00000000-0005-0000-0000-0000D7070000}"/>
    <cellStyle name="Heading 1 2 3" xfId="260" xr:uid="{00000000-0005-0000-0000-0000D8070000}"/>
    <cellStyle name="Heading 1 2 3 2" xfId="3682" xr:uid="{00000000-0005-0000-0000-0000D9070000}"/>
    <cellStyle name="Heading 1 2 4" xfId="1889" xr:uid="{00000000-0005-0000-0000-0000DA070000}"/>
    <cellStyle name="Heading 1 2 5" xfId="1890" xr:uid="{00000000-0005-0000-0000-0000DB070000}"/>
    <cellStyle name="Heading 1 2 5 2" xfId="3683" xr:uid="{00000000-0005-0000-0000-0000DC070000}"/>
    <cellStyle name="Heading 1 2 6" xfId="1891" xr:uid="{00000000-0005-0000-0000-0000DD070000}"/>
    <cellStyle name="Heading 1 2_QC" xfId="1892" xr:uid="{00000000-0005-0000-0000-0000DE070000}"/>
    <cellStyle name="Heading 1 3" xfId="261" xr:uid="{00000000-0005-0000-0000-0000DF070000}"/>
    <cellStyle name="Heading 1 3 2" xfId="1893" xr:uid="{00000000-0005-0000-0000-0000E0070000}"/>
    <cellStyle name="Heading 1 4" xfId="262" xr:uid="{00000000-0005-0000-0000-0000E1070000}"/>
    <cellStyle name="Heading 1 4 2" xfId="1894" xr:uid="{00000000-0005-0000-0000-0000E2070000}"/>
    <cellStyle name="Heading 1 4 3" xfId="4668" xr:uid="{00000000-0005-0000-0000-0000E3070000}"/>
    <cellStyle name="Heading 1 5" xfId="1895" xr:uid="{00000000-0005-0000-0000-0000E4070000}"/>
    <cellStyle name="Heading 1 6" xfId="1896" xr:uid="{00000000-0005-0000-0000-0000E5070000}"/>
    <cellStyle name="Heading 1 7" xfId="1897" xr:uid="{00000000-0005-0000-0000-0000E6070000}"/>
    <cellStyle name="Heading 1 7 2" xfId="1898" xr:uid="{00000000-0005-0000-0000-0000E7070000}"/>
    <cellStyle name="Heading 2" xfId="4602" builtinId="17" customBuiltin="1"/>
    <cellStyle name="Heading 2 2" xfId="263" xr:uid="{00000000-0005-0000-0000-0000E9070000}"/>
    <cellStyle name="Heading 2 2 2" xfId="264" xr:uid="{00000000-0005-0000-0000-0000EA070000}"/>
    <cellStyle name="Heading 2 2 2 2" xfId="1899" xr:uid="{00000000-0005-0000-0000-0000EB070000}"/>
    <cellStyle name="Heading 2 2 2 3" xfId="1900" xr:uid="{00000000-0005-0000-0000-0000EC070000}"/>
    <cellStyle name="Heading 2 2 3" xfId="265" xr:uid="{00000000-0005-0000-0000-0000ED070000}"/>
    <cellStyle name="Heading 2 2 3 2" xfId="3684" xr:uid="{00000000-0005-0000-0000-0000EE070000}"/>
    <cellStyle name="Heading 2 2 4" xfId="1901" xr:uid="{00000000-0005-0000-0000-0000EF070000}"/>
    <cellStyle name="Heading 2 2 5" xfId="1902" xr:uid="{00000000-0005-0000-0000-0000F0070000}"/>
    <cellStyle name="Heading 2 2 5 2" xfId="3685" xr:uid="{00000000-0005-0000-0000-0000F1070000}"/>
    <cellStyle name="Heading 2 2 6" xfId="1903" xr:uid="{00000000-0005-0000-0000-0000F2070000}"/>
    <cellStyle name="Heading 2 2_QC" xfId="1904" xr:uid="{00000000-0005-0000-0000-0000F3070000}"/>
    <cellStyle name="Heading 2 3" xfId="266" xr:uid="{00000000-0005-0000-0000-0000F4070000}"/>
    <cellStyle name="Heading 2 3 2" xfId="1905" xr:uid="{00000000-0005-0000-0000-0000F5070000}"/>
    <cellStyle name="Heading 2 4" xfId="267" xr:uid="{00000000-0005-0000-0000-0000F6070000}"/>
    <cellStyle name="Heading 2 4 2" xfId="1906" xr:uid="{00000000-0005-0000-0000-0000F7070000}"/>
    <cellStyle name="Heading 2 4 3" xfId="4669" xr:uid="{00000000-0005-0000-0000-0000F8070000}"/>
    <cellStyle name="Heading 2 5" xfId="1907" xr:uid="{00000000-0005-0000-0000-0000F9070000}"/>
    <cellStyle name="Heading 2 6" xfId="1908" xr:uid="{00000000-0005-0000-0000-0000FA070000}"/>
    <cellStyle name="Heading 2 7" xfId="1909" xr:uid="{00000000-0005-0000-0000-0000FB070000}"/>
    <cellStyle name="Heading 2 7 2" xfId="1910" xr:uid="{00000000-0005-0000-0000-0000FC070000}"/>
    <cellStyle name="Heading 3" xfId="4603" builtinId="18" customBuiltin="1"/>
    <cellStyle name="Heading 3 2" xfId="268" xr:uid="{00000000-0005-0000-0000-0000FE070000}"/>
    <cellStyle name="Heading 3 2 2" xfId="269" xr:uid="{00000000-0005-0000-0000-0000FF070000}"/>
    <cellStyle name="Heading 3 2 2 2" xfId="1911" xr:uid="{00000000-0005-0000-0000-000000080000}"/>
    <cellStyle name="Heading 3 2 2 3" xfId="1912" xr:uid="{00000000-0005-0000-0000-000001080000}"/>
    <cellStyle name="Heading 3 2 3" xfId="270" xr:uid="{00000000-0005-0000-0000-000002080000}"/>
    <cellStyle name="Heading 3 2 3 2" xfId="3686" xr:uid="{00000000-0005-0000-0000-000003080000}"/>
    <cellStyle name="Heading 3 2 4" xfId="1913" xr:uid="{00000000-0005-0000-0000-000004080000}"/>
    <cellStyle name="Heading 3 2 5" xfId="1914" xr:uid="{00000000-0005-0000-0000-000005080000}"/>
    <cellStyle name="Heading 3 2 5 2" xfId="3687" xr:uid="{00000000-0005-0000-0000-000006080000}"/>
    <cellStyle name="Heading 3 2 6" xfId="1915" xr:uid="{00000000-0005-0000-0000-000007080000}"/>
    <cellStyle name="Heading 3 2_QC" xfId="1916" xr:uid="{00000000-0005-0000-0000-000008080000}"/>
    <cellStyle name="Heading 3 3" xfId="271" xr:uid="{00000000-0005-0000-0000-000009080000}"/>
    <cellStyle name="Heading 3 3 2" xfId="1917" xr:uid="{00000000-0005-0000-0000-00000A080000}"/>
    <cellStyle name="Heading 3 4" xfId="272" xr:uid="{00000000-0005-0000-0000-00000B080000}"/>
    <cellStyle name="Heading 3 4 2" xfId="1918" xr:uid="{00000000-0005-0000-0000-00000C080000}"/>
    <cellStyle name="Heading 3 4 3" xfId="4670" xr:uid="{00000000-0005-0000-0000-00000D080000}"/>
    <cellStyle name="Heading 3 5" xfId="1919" xr:uid="{00000000-0005-0000-0000-00000E080000}"/>
    <cellStyle name="Heading 3 6" xfId="1920" xr:uid="{00000000-0005-0000-0000-00000F080000}"/>
    <cellStyle name="Heading 3 7" xfId="1921" xr:uid="{00000000-0005-0000-0000-000010080000}"/>
    <cellStyle name="Heading 3 7 2" xfId="1922" xr:uid="{00000000-0005-0000-0000-000011080000}"/>
    <cellStyle name="Heading 4" xfId="4604" builtinId="19" customBuiltin="1"/>
    <cellStyle name="Heading 4 2" xfId="273" xr:uid="{00000000-0005-0000-0000-000013080000}"/>
    <cellStyle name="Heading 4 2 2" xfId="274" xr:uid="{00000000-0005-0000-0000-000014080000}"/>
    <cellStyle name="Heading 4 2 2 2" xfId="1923" xr:uid="{00000000-0005-0000-0000-000015080000}"/>
    <cellStyle name="Heading 4 2 2 3" xfId="1924" xr:uid="{00000000-0005-0000-0000-000016080000}"/>
    <cellStyle name="Heading 4 2 3" xfId="275" xr:uid="{00000000-0005-0000-0000-000017080000}"/>
    <cellStyle name="Heading 4 2 3 2" xfId="3688" xr:uid="{00000000-0005-0000-0000-000018080000}"/>
    <cellStyle name="Heading 4 2 4" xfId="1925" xr:uid="{00000000-0005-0000-0000-000019080000}"/>
    <cellStyle name="Heading 4 2 5" xfId="1926" xr:uid="{00000000-0005-0000-0000-00001A080000}"/>
    <cellStyle name="Heading 4 2 5 2" xfId="3689" xr:uid="{00000000-0005-0000-0000-00001B080000}"/>
    <cellStyle name="Heading 4 2 6" xfId="1927" xr:uid="{00000000-0005-0000-0000-00001C080000}"/>
    <cellStyle name="Heading 4 3" xfId="276" xr:uid="{00000000-0005-0000-0000-00001D080000}"/>
    <cellStyle name="Heading 4 3 2" xfId="1928" xr:uid="{00000000-0005-0000-0000-00001E080000}"/>
    <cellStyle name="Heading 4 4" xfId="277" xr:uid="{00000000-0005-0000-0000-00001F080000}"/>
    <cellStyle name="Heading 4 4 2" xfId="1929" xr:uid="{00000000-0005-0000-0000-000020080000}"/>
    <cellStyle name="Heading 4 4 3" xfId="4671" xr:uid="{00000000-0005-0000-0000-000021080000}"/>
    <cellStyle name="Heading 4 5" xfId="1930" xr:uid="{00000000-0005-0000-0000-000022080000}"/>
    <cellStyle name="Heading 4 6" xfId="1931" xr:uid="{00000000-0005-0000-0000-000023080000}"/>
    <cellStyle name="Heading 4 7" xfId="1932" xr:uid="{00000000-0005-0000-0000-000024080000}"/>
    <cellStyle name="Heading 4 7 2" xfId="1933" xr:uid="{00000000-0005-0000-0000-000025080000}"/>
    <cellStyle name="Heading1" xfId="1934" xr:uid="{00000000-0005-0000-0000-000026080000}"/>
    <cellStyle name="Heading1 2" xfId="1935" xr:uid="{00000000-0005-0000-0000-000027080000}"/>
    <cellStyle name="Heading1 2 2" xfId="1936" xr:uid="{00000000-0005-0000-0000-000028080000}"/>
    <cellStyle name="Heading1 3" xfId="1937" xr:uid="{00000000-0005-0000-0000-000029080000}"/>
    <cellStyle name="Heading1 3 2" xfId="1938" xr:uid="{00000000-0005-0000-0000-00002A080000}"/>
    <cellStyle name="Heading1 4" xfId="1939" xr:uid="{00000000-0005-0000-0000-00002B080000}"/>
    <cellStyle name="Heading2" xfId="1940" xr:uid="{00000000-0005-0000-0000-00002C080000}"/>
    <cellStyle name="Heading2 2" xfId="1941" xr:uid="{00000000-0005-0000-0000-00002D080000}"/>
    <cellStyle name="Heading2 2 2" xfId="1942" xr:uid="{00000000-0005-0000-0000-00002E080000}"/>
    <cellStyle name="Heading2 3" xfId="1943" xr:uid="{00000000-0005-0000-0000-00002F080000}"/>
    <cellStyle name="Heading2 3 2" xfId="1944" xr:uid="{00000000-0005-0000-0000-000030080000}"/>
    <cellStyle name="Heading2 4" xfId="1945" xr:uid="{00000000-0005-0000-0000-000031080000}"/>
    <cellStyle name="HIGHLIGHT" xfId="1946" xr:uid="{00000000-0005-0000-0000-000032080000}"/>
    <cellStyle name="HIGHLIGHT 2" xfId="1947" xr:uid="{00000000-0005-0000-0000-000033080000}"/>
    <cellStyle name="Hyperlink 2" xfId="278" xr:uid="{00000000-0005-0000-0000-000034080000}"/>
    <cellStyle name="Hyperlink 2 2" xfId="1948" xr:uid="{00000000-0005-0000-0000-000035080000}"/>
    <cellStyle name="Hyperlink 2 2 2" xfId="1949" xr:uid="{00000000-0005-0000-0000-000036080000}"/>
    <cellStyle name="Hyperlink 2 3" xfId="1950" xr:uid="{00000000-0005-0000-0000-000037080000}"/>
    <cellStyle name="Hyperlink 2_Augmentation" xfId="1951" xr:uid="{00000000-0005-0000-0000-000038080000}"/>
    <cellStyle name="Hyperlink 3" xfId="279" xr:uid="{00000000-0005-0000-0000-000039080000}"/>
    <cellStyle name="Hyperlink 3 2" xfId="1952" xr:uid="{00000000-0005-0000-0000-00003A080000}"/>
    <cellStyle name="Hyperlink 3 2 2" xfId="1953" xr:uid="{00000000-0005-0000-0000-00003B080000}"/>
    <cellStyle name="Hyperlink 3 2 3" xfId="1954" xr:uid="{00000000-0005-0000-0000-00003C080000}"/>
    <cellStyle name="Hyperlink 3 2 4" xfId="1955" xr:uid="{00000000-0005-0000-0000-00003D080000}"/>
    <cellStyle name="Hyperlink 3 3" xfId="1956" xr:uid="{00000000-0005-0000-0000-00003E080000}"/>
    <cellStyle name="Hyperlink 3 3 2" xfId="1957" xr:uid="{00000000-0005-0000-0000-00003F080000}"/>
    <cellStyle name="Hyperlink 3 4" xfId="1958" xr:uid="{00000000-0005-0000-0000-000040080000}"/>
    <cellStyle name="Hyperlink 4" xfId="1959" xr:uid="{00000000-0005-0000-0000-000041080000}"/>
    <cellStyle name="Hyperlink 4 2" xfId="1960" xr:uid="{00000000-0005-0000-0000-000042080000}"/>
    <cellStyle name="Hyperlink 4 2 2" xfId="1961" xr:uid="{00000000-0005-0000-0000-000043080000}"/>
    <cellStyle name="Hyperlink 4 3" xfId="1962" xr:uid="{00000000-0005-0000-0000-000044080000}"/>
    <cellStyle name="Hyperlink 4 3 2" xfId="1963" xr:uid="{00000000-0005-0000-0000-000045080000}"/>
    <cellStyle name="Hyperlink 5" xfId="1964" xr:uid="{00000000-0005-0000-0000-000046080000}"/>
    <cellStyle name="Hyperlink 5 2" xfId="1965" xr:uid="{00000000-0005-0000-0000-000047080000}"/>
    <cellStyle name="Hyperlink 5 3" xfId="1966" xr:uid="{00000000-0005-0000-0000-000048080000}"/>
    <cellStyle name="Hyperlink 5 4" xfId="1967" xr:uid="{00000000-0005-0000-0000-000049080000}"/>
    <cellStyle name="Hyperlink 6" xfId="1968" xr:uid="{00000000-0005-0000-0000-00004A080000}"/>
    <cellStyle name="Input" xfId="4605" builtinId="20" customBuiltin="1"/>
    <cellStyle name="Input [yellow]" xfId="1969" xr:uid="{00000000-0005-0000-0000-00004C080000}"/>
    <cellStyle name="Input [yellow] 2" xfId="1970" xr:uid="{00000000-0005-0000-0000-00004D080000}"/>
    <cellStyle name="Input [yellow] 2 2" xfId="1971" xr:uid="{00000000-0005-0000-0000-00004E080000}"/>
    <cellStyle name="Input [yellow] 2 3" xfId="3690" xr:uid="{00000000-0005-0000-0000-00004F080000}"/>
    <cellStyle name="Input [yellow] 3" xfId="1972" xr:uid="{00000000-0005-0000-0000-000050080000}"/>
    <cellStyle name="Input [yellow] 4" xfId="1973" xr:uid="{00000000-0005-0000-0000-000051080000}"/>
    <cellStyle name="Input 10" xfId="1974" xr:uid="{00000000-0005-0000-0000-000052080000}"/>
    <cellStyle name="Input 11" xfId="1975" xr:uid="{00000000-0005-0000-0000-000053080000}"/>
    <cellStyle name="Input 12" xfId="1976" xr:uid="{00000000-0005-0000-0000-000054080000}"/>
    <cellStyle name="Input 13" xfId="1977" xr:uid="{00000000-0005-0000-0000-000055080000}"/>
    <cellStyle name="Input 14" xfId="1978" xr:uid="{00000000-0005-0000-0000-000056080000}"/>
    <cellStyle name="Input 15" xfId="1979" xr:uid="{00000000-0005-0000-0000-000057080000}"/>
    <cellStyle name="Input 16" xfId="1980" xr:uid="{00000000-0005-0000-0000-000058080000}"/>
    <cellStyle name="Input 17" xfId="1981" xr:uid="{00000000-0005-0000-0000-000059080000}"/>
    <cellStyle name="Input 18" xfId="1982" xr:uid="{00000000-0005-0000-0000-00005A080000}"/>
    <cellStyle name="Input 19" xfId="1983" xr:uid="{00000000-0005-0000-0000-00005B080000}"/>
    <cellStyle name="Input 2" xfId="280" xr:uid="{00000000-0005-0000-0000-00005C080000}"/>
    <cellStyle name="Input 2 2" xfId="281" xr:uid="{00000000-0005-0000-0000-00005D080000}"/>
    <cellStyle name="Input 2 2 2" xfId="1984" xr:uid="{00000000-0005-0000-0000-00005E080000}"/>
    <cellStyle name="Input 2 2 2 2" xfId="1985" xr:uid="{00000000-0005-0000-0000-00005F080000}"/>
    <cellStyle name="Input 2 2 3" xfId="1986" xr:uid="{00000000-0005-0000-0000-000060080000}"/>
    <cellStyle name="Input 2 2 3 2" xfId="1987" xr:uid="{00000000-0005-0000-0000-000061080000}"/>
    <cellStyle name="Input 2 2 4" xfId="1988" xr:uid="{00000000-0005-0000-0000-000062080000}"/>
    <cellStyle name="Input 2 2 5" xfId="1989" xr:uid="{00000000-0005-0000-0000-000063080000}"/>
    <cellStyle name="Input 2 3" xfId="282" xr:uid="{00000000-0005-0000-0000-000064080000}"/>
    <cellStyle name="Input 2 3 2" xfId="3691" xr:uid="{00000000-0005-0000-0000-000065080000}"/>
    <cellStyle name="Input 2 4" xfId="283" xr:uid="{00000000-0005-0000-0000-000066080000}"/>
    <cellStyle name="Input 2 4 2" xfId="3692" xr:uid="{00000000-0005-0000-0000-000067080000}"/>
    <cellStyle name="Input 2 5" xfId="1990" xr:uid="{00000000-0005-0000-0000-000068080000}"/>
    <cellStyle name="Input 2 5 2" xfId="3693" xr:uid="{00000000-0005-0000-0000-000069080000}"/>
    <cellStyle name="Input 2_QC" xfId="1991" xr:uid="{00000000-0005-0000-0000-00006A080000}"/>
    <cellStyle name="Input 20" xfId="1992" xr:uid="{00000000-0005-0000-0000-00006B080000}"/>
    <cellStyle name="Input 21" xfId="1993" xr:uid="{00000000-0005-0000-0000-00006C080000}"/>
    <cellStyle name="Input 22" xfId="1994" xr:uid="{00000000-0005-0000-0000-00006D080000}"/>
    <cellStyle name="Input 23" xfId="1995" xr:uid="{00000000-0005-0000-0000-00006E080000}"/>
    <cellStyle name="Input 24" xfId="1996" xr:uid="{00000000-0005-0000-0000-00006F080000}"/>
    <cellStyle name="Input 25" xfId="1997" xr:uid="{00000000-0005-0000-0000-000070080000}"/>
    <cellStyle name="Input 26" xfId="1998" xr:uid="{00000000-0005-0000-0000-000071080000}"/>
    <cellStyle name="Input 27" xfId="1999" xr:uid="{00000000-0005-0000-0000-000072080000}"/>
    <cellStyle name="Input 27 2" xfId="2000" xr:uid="{00000000-0005-0000-0000-000073080000}"/>
    <cellStyle name="Input 28" xfId="2001" xr:uid="{00000000-0005-0000-0000-000074080000}"/>
    <cellStyle name="Input 28 2" xfId="2002" xr:uid="{00000000-0005-0000-0000-000075080000}"/>
    <cellStyle name="Input 29" xfId="2003" xr:uid="{00000000-0005-0000-0000-000076080000}"/>
    <cellStyle name="Input 29 2" xfId="2004" xr:uid="{00000000-0005-0000-0000-000077080000}"/>
    <cellStyle name="Input 3" xfId="284" xr:uid="{00000000-0005-0000-0000-000078080000}"/>
    <cellStyle name="Input 3 2" xfId="2005" xr:uid="{00000000-0005-0000-0000-000079080000}"/>
    <cellStyle name="Input 30" xfId="2006" xr:uid="{00000000-0005-0000-0000-00007A080000}"/>
    <cellStyle name="Input 31" xfId="2007" xr:uid="{00000000-0005-0000-0000-00007B080000}"/>
    <cellStyle name="Input 32" xfId="2008" xr:uid="{00000000-0005-0000-0000-00007C080000}"/>
    <cellStyle name="Input 33" xfId="2009" xr:uid="{00000000-0005-0000-0000-00007D080000}"/>
    <cellStyle name="Input 34" xfId="2010" xr:uid="{00000000-0005-0000-0000-00007E080000}"/>
    <cellStyle name="Input 35" xfId="5533" xr:uid="{00000000-0005-0000-0000-00007F080000}"/>
    <cellStyle name="Input 36" xfId="5534" xr:uid="{00000000-0005-0000-0000-000080080000}"/>
    <cellStyle name="Input 37" xfId="5535" xr:uid="{00000000-0005-0000-0000-000081080000}"/>
    <cellStyle name="Input 4" xfId="285" xr:uid="{00000000-0005-0000-0000-000082080000}"/>
    <cellStyle name="Input 4 2" xfId="2011" xr:uid="{00000000-0005-0000-0000-000083080000}"/>
    <cellStyle name="Input 5" xfId="286" xr:uid="{00000000-0005-0000-0000-000084080000}"/>
    <cellStyle name="Input 5 2" xfId="2012" xr:uid="{00000000-0005-0000-0000-000085080000}"/>
    <cellStyle name="Input 5 3" xfId="2013" xr:uid="{00000000-0005-0000-0000-000086080000}"/>
    <cellStyle name="Input 6" xfId="2014" xr:uid="{00000000-0005-0000-0000-000087080000}"/>
    <cellStyle name="Input 6 2" xfId="2015" xr:uid="{00000000-0005-0000-0000-000088080000}"/>
    <cellStyle name="Input 7" xfId="2016" xr:uid="{00000000-0005-0000-0000-000089080000}"/>
    <cellStyle name="Input 7 2" xfId="2017" xr:uid="{00000000-0005-0000-0000-00008A080000}"/>
    <cellStyle name="Input 8" xfId="2018" xr:uid="{00000000-0005-0000-0000-00008B080000}"/>
    <cellStyle name="Input 8 2" xfId="2019" xr:uid="{00000000-0005-0000-0000-00008C080000}"/>
    <cellStyle name="Input 9" xfId="2020" xr:uid="{00000000-0005-0000-0000-00008D080000}"/>
    <cellStyle name="Input 9 2" xfId="2021" xr:uid="{00000000-0005-0000-0000-00008E080000}"/>
    <cellStyle name="Input Cells" xfId="2022" xr:uid="{00000000-0005-0000-0000-00008F080000}"/>
    <cellStyle name="Lines" xfId="2023" xr:uid="{00000000-0005-0000-0000-000090080000}"/>
    <cellStyle name="Lines 2" xfId="3694" xr:uid="{00000000-0005-0000-0000-000091080000}"/>
    <cellStyle name="Linked Cell" xfId="4608" builtinId="24" customBuiltin="1"/>
    <cellStyle name="Linked Cell 2" xfId="287" xr:uid="{00000000-0005-0000-0000-000093080000}"/>
    <cellStyle name="Linked Cell 2 2" xfId="288" xr:uid="{00000000-0005-0000-0000-000094080000}"/>
    <cellStyle name="Linked Cell 2 2 2" xfId="2024" xr:uid="{00000000-0005-0000-0000-000095080000}"/>
    <cellStyle name="Linked Cell 2 2 2 2" xfId="2025" xr:uid="{00000000-0005-0000-0000-000096080000}"/>
    <cellStyle name="Linked Cell 2 2 3" xfId="2026" xr:uid="{00000000-0005-0000-0000-000097080000}"/>
    <cellStyle name="Linked Cell 2 2 3 2" xfId="2027" xr:uid="{00000000-0005-0000-0000-000098080000}"/>
    <cellStyle name="Linked Cell 2 2 3 2 2" xfId="4519" xr:uid="{00000000-0005-0000-0000-000099080000}"/>
    <cellStyle name="Linked Cell 2 2 4" xfId="2028" xr:uid="{00000000-0005-0000-0000-00009A080000}"/>
    <cellStyle name="Linked Cell 2 3" xfId="289" xr:uid="{00000000-0005-0000-0000-00009B080000}"/>
    <cellStyle name="Linked Cell 2 3 2" xfId="4522" xr:uid="{00000000-0005-0000-0000-00009C080000}"/>
    <cellStyle name="Linked Cell 2 4" xfId="2029" xr:uid="{00000000-0005-0000-0000-00009D080000}"/>
    <cellStyle name="Linked Cell 2 4 2" xfId="4518" xr:uid="{00000000-0005-0000-0000-00009E080000}"/>
    <cellStyle name="Linked Cell 2 4 3" xfId="3695" xr:uid="{00000000-0005-0000-0000-00009F080000}"/>
    <cellStyle name="Linked Cell 2 5" xfId="4523" xr:uid="{00000000-0005-0000-0000-0000A0080000}"/>
    <cellStyle name="Linked Cell 2_QC" xfId="2030" xr:uid="{00000000-0005-0000-0000-0000A1080000}"/>
    <cellStyle name="Linked Cell 3" xfId="290" xr:uid="{00000000-0005-0000-0000-0000A2080000}"/>
    <cellStyle name="Linked Cell 3 2" xfId="2031" xr:uid="{00000000-0005-0000-0000-0000A3080000}"/>
    <cellStyle name="Linked Cell 4" xfId="291" xr:uid="{00000000-0005-0000-0000-0000A4080000}"/>
    <cellStyle name="Linked Cell 4 2" xfId="2032" xr:uid="{00000000-0005-0000-0000-0000A5080000}"/>
    <cellStyle name="Linked Cell 4 3" xfId="4672" xr:uid="{00000000-0005-0000-0000-0000A6080000}"/>
    <cellStyle name="Linked Cell 5" xfId="2033" xr:uid="{00000000-0005-0000-0000-0000A7080000}"/>
    <cellStyle name="Linked Cell 6" xfId="2034" xr:uid="{00000000-0005-0000-0000-0000A8080000}"/>
    <cellStyle name="Linked Cell 7" xfId="2035" xr:uid="{00000000-0005-0000-0000-0000A9080000}"/>
    <cellStyle name="Linked Cell 7 2" xfId="2036" xr:uid="{00000000-0005-0000-0000-0000AA080000}"/>
    <cellStyle name="modified border" xfId="2037" xr:uid="{00000000-0005-0000-0000-0000AB080000}"/>
    <cellStyle name="modified border1" xfId="2038" xr:uid="{00000000-0005-0000-0000-0000AC080000}"/>
    <cellStyle name="Multiple" xfId="2039" xr:uid="{00000000-0005-0000-0000-0000AD080000}"/>
    <cellStyle name="Neutral" xfId="387" builtinId="28" customBuiltin="1"/>
    <cellStyle name="Neutral 2" xfId="292" xr:uid="{00000000-0005-0000-0000-0000AF080000}"/>
    <cellStyle name="Neutral 2 2" xfId="293" xr:uid="{00000000-0005-0000-0000-0000B0080000}"/>
    <cellStyle name="Neutral 2 2 2" xfId="2040" xr:uid="{00000000-0005-0000-0000-0000B1080000}"/>
    <cellStyle name="Neutral 2 2 2 2" xfId="2041" xr:uid="{00000000-0005-0000-0000-0000B2080000}"/>
    <cellStyle name="Neutral 2 2 3" xfId="2042" xr:uid="{00000000-0005-0000-0000-0000B3080000}"/>
    <cellStyle name="Neutral 2 2 3 2" xfId="2043" xr:uid="{00000000-0005-0000-0000-0000B4080000}"/>
    <cellStyle name="Neutral 2 2 4" xfId="2044" xr:uid="{00000000-0005-0000-0000-0000B5080000}"/>
    <cellStyle name="Neutral 2 3" xfId="294" xr:uid="{00000000-0005-0000-0000-0000B6080000}"/>
    <cellStyle name="Neutral 2 4" xfId="2045" xr:uid="{00000000-0005-0000-0000-0000B7080000}"/>
    <cellStyle name="Neutral 2 4 2" xfId="3696" xr:uid="{00000000-0005-0000-0000-0000B8080000}"/>
    <cellStyle name="Neutral 2_QC Sheet" xfId="2046" xr:uid="{00000000-0005-0000-0000-0000B9080000}"/>
    <cellStyle name="Neutral 3" xfId="295" xr:uid="{00000000-0005-0000-0000-0000BA080000}"/>
    <cellStyle name="Neutral 3 2" xfId="2047" xr:uid="{00000000-0005-0000-0000-0000BB080000}"/>
    <cellStyle name="Neutral 4" xfId="296" xr:uid="{00000000-0005-0000-0000-0000BC080000}"/>
    <cellStyle name="Neutral 4 2" xfId="2048" xr:uid="{00000000-0005-0000-0000-0000BD080000}"/>
    <cellStyle name="Neutral 4 3" xfId="4673" xr:uid="{00000000-0005-0000-0000-0000BE080000}"/>
    <cellStyle name="Neutral 5" xfId="2049" xr:uid="{00000000-0005-0000-0000-0000BF080000}"/>
    <cellStyle name="Neutral 6" xfId="2050" xr:uid="{00000000-0005-0000-0000-0000C0080000}"/>
    <cellStyle name="Neutral 7" xfId="2051" xr:uid="{00000000-0005-0000-0000-0000C1080000}"/>
    <cellStyle name="Neutral 7 2" xfId="2052" xr:uid="{00000000-0005-0000-0000-0000C2080000}"/>
    <cellStyle name="no dec" xfId="2053" xr:uid="{00000000-0005-0000-0000-0000C3080000}"/>
    <cellStyle name="no dec 2" xfId="2054" xr:uid="{00000000-0005-0000-0000-0000C4080000}"/>
    <cellStyle name="no dec 2 2" xfId="2055" xr:uid="{00000000-0005-0000-0000-0000C5080000}"/>
    <cellStyle name="Normal" xfId="0" builtinId="0"/>
    <cellStyle name="Normal - Style1" xfId="2056" xr:uid="{00000000-0005-0000-0000-0000C7080000}"/>
    <cellStyle name="Normal - Style1 2" xfId="2057" xr:uid="{00000000-0005-0000-0000-0000C8080000}"/>
    <cellStyle name="Normal - Style1 3" xfId="2058" xr:uid="{00000000-0005-0000-0000-0000C9080000}"/>
    <cellStyle name="Normal 10" xfId="8" xr:uid="{00000000-0005-0000-0000-0000CA080000}"/>
    <cellStyle name="Normal 10 2" xfId="297" xr:uid="{00000000-0005-0000-0000-0000CB080000}"/>
    <cellStyle name="Normal 10 2 10" xfId="4710" xr:uid="{00000000-0005-0000-0000-0000CC080000}"/>
    <cellStyle name="Normal 10 2 2" xfId="2059" xr:uid="{00000000-0005-0000-0000-0000CD080000}"/>
    <cellStyle name="Normal 10 2 2 2" xfId="2060" xr:uid="{00000000-0005-0000-0000-0000CE080000}"/>
    <cellStyle name="Normal 10 2 2 2 2" xfId="2061" xr:uid="{00000000-0005-0000-0000-0000CF080000}"/>
    <cellStyle name="Normal 10 2 2 2 2 2" xfId="2062" xr:uid="{00000000-0005-0000-0000-0000D0080000}"/>
    <cellStyle name="Normal 10 2 2 2 2 2 2" xfId="5382" xr:uid="{00000000-0005-0000-0000-0000D1080000}"/>
    <cellStyle name="Normal 10 2 2 2 2 3" xfId="4959" xr:uid="{00000000-0005-0000-0000-0000D2080000}"/>
    <cellStyle name="Normal 10 2 2 2 3" xfId="2063" xr:uid="{00000000-0005-0000-0000-0000D3080000}"/>
    <cellStyle name="Normal 10 2 2 2 3 2" xfId="5233" xr:uid="{00000000-0005-0000-0000-0000D4080000}"/>
    <cellStyle name="Normal 10 2 2 2 4" xfId="4807" xr:uid="{00000000-0005-0000-0000-0000D5080000}"/>
    <cellStyle name="Normal 10 2 2 3" xfId="2064" xr:uid="{00000000-0005-0000-0000-0000D6080000}"/>
    <cellStyle name="Normal 10 2 2 3 2" xfId="2065" xr:uid="{00000000-0005-0000-0000-0000D7080000}"/>
    <cellStyle name="Normal 10 2 2 3 2 2" xfId="5381" xr:uid="{00000000-0005-0000-0000-0000D8080000}"/>
    <cellStyle name="Normal 10 2 2 3 3" xfId="4958" xr:uid="{00000000-0005-0000-0000-0000D9080000}"/>
    <cellStyle name="Normal 10 2 2 4" xfId="2066" xr:uid="{00000000-0005-0000-0000-0000DA080000}"/>
    <cellStyle name="Normal 10 2 2 4 2" xfId="5193" xr:uid="{00000000-0005-0000-0000-0000DB080000}"/>
    <cellStyle name="Normal 10 2 2 5" xfId="3933" xr:uid="{00000000-0005-0000-0000-0000DC080000}"/>
    <cellStyle name="Normal 10 2 2 6" xfId="4764" xr:uid="{00000000-0005-0000-0000-0000DD080000}"/>
    <cellStyle name="Normal 10 2 3" xfId="2067" xr:uid="{00000000-0005-0000-0000-0000DE080000}"/>
    <cellStyle name="Normal 10 2 3 2" xfId="2068" xr:uid="{00000000-0005-0000-0000-0000DF080000}"/>
    <cellStyle name="Normal 10 2 3 2 2" xfId="2069" xr:uid="{00000000-0005-0000-0000-0000E0080000}"/>
    <cellStyle name="Normal 10 2 3 2 2 2" xfId="5383" xr:uid="{00000000-0005-0000-0000-0000E1080000}"/>
    <cellStyle name="Normal 10 2 3 2 3" xfId="4960" xr:uid="{00000000-0005-0000-0000-0000E2080000}"/>
    <cellStyle name="Normal 10 2 3 3" xfId="2070" xr:uid="{00000000-0005-0000-0000-0000E3080000}"/>
    <cellStyle name="Normal 10 2 3 3 2" xfId="5255" xr:uid="{00000000-0005-0000-0000-0000E4080000}"/>
    <cellStyle name="Normal 10 2 3 4" xfId="4830" xr:uid="{00000000-0005-0000-0000-0000E5080000}"/>
    <cellStyle name="Normal 10 2 4" xfId="2071" xr:uid="{00000000-0005-0000-0000-0000E6080000}"/>
    <cellStyle name="Normal 10 2 4 2" xfId="2072" xr:uid="{00000000-0005-0000-0000-0000E7080000}"/>
    <cellStyle name="Normal 10 2 4 2 2" xfId="2073" xr:uid="{00000000-0005-0000-0000-0000E8080000}"/>
    <cellStyle name="Normal 10 2 4 2 2 2" xfId="5384" xr:uid="{00000000-0005-0000-0000-0000E9080000}"/>
    <cellStyle name="Normal 10 2 4 2 3" xfId="4961" xr:uid="{00000000-0005-0000-0000-0000EA080000}"/>
    <cellStyle name="Normal 10 2 4 3" xfId="2074" xr:uid="{00000000-0005-0000-0000-0000EB080000}"/>
    <cellStyle name="Normal 10 2 4 3 2" xfId="5217" xr:uid="{00000000-0005-0000-0000-0000EC080000}"/>
    <cellStyle name="Normal 10 2 4 4" xfId="4791" xr:uid="{00000000-0005-0000-0000-0000ED080000}"/>
    <cellStyle name="Normal 10 2 5" xfId="2075" xr:uid="{00000000-0005-0000-0000-0000EE080000}"/>
    <cellStyle name="Normal 10 2 5 2" xfId="2076" xr:uid="{00000000-0005-0000-0000-0000EF080000}"/>
    <cellStyle name="Normal 10 2 5 2 2" xfId="2077" xr:uid="{00000000-0005-0000-0000-0000F0080000}"/>
    <cellStyle name="Normal 10 2 5 2 2 2" xfId="5385" xr:uid="{00000000-0005-0000-0000-0000F1080000}"/>
    <cellStyle name="Normal 10 2 5 2 3" xfId="4962" xr:uid="{00000000-0005-0000-0000-0000F2080000}"/>
    <cellStyle name="Normal 10 2 5 3" xfId="2078" xr:uid="{00000000-0005-0000-0000-0000F3080000}"/>
    <cellStyle name="Normal 10 2 5 3 2" xfId="5291" xr:uid="{00000000-0005-0000-0000-0000F4080000}"/>
    <cellStyle name="Normal 10 2 5 4" xfId="4868" xr:uid="{00000000-0005-0000-0000-0000F5080000}"/>
    <cellStyle name="Normal 10 2 6" xfId="2079" xr:uid="{00000000-0005-0000-0000-0000F6080000}"/>
    <cellStyle name="Normal 10 2 6 2" xfId="2080" xr:uid="{00000000-0005-0000-0000-0000F7080000}"/>
    <cellStyle name="Normal 10 2 6 2 2" xfId="2081" xr:uid="{00000000-0005-0000-0000-0000F8080000}"/>
    <cellStyle name="Normal 10 2 6 2 2 2" xfId="5386" xr:uid="{00000000-0005-0000-0000-0000F9080000}"/>
    <cellStyle name="Normal 10 2 6 2 3" xfId="4963" xr:uid="{00000000-0005-0000-0000-0000FA080000}"/>
    <cellStyle name="Normal 10 2 6 3" xfId="2082" xr:uid="{00000000-0005-0000-0000-0000FB080000}"/>
    <cellStyle name="Normal 10 2 6 3 2" xfId="5177" xr:uid="{00000000-0005-0000-0000-0000FC080000}"/>
    <cellStyle name="Normal 10 2 6 4" xfId="4748" xr:uid="{00000000-0005-0000-0000-0000FD080000}"/>
    <cellStyle name="Normal 10 2 7" xfId="2083" xr:uid="{00000000-0005-0000-0000-0000FE080000}"/>
    <cellStyle name="Normal 10 2 7 2" xfId="2084" xr:uid="{00000000-0005-0000-0000-0000FF080000}"/>
    <cellStyle name="Normal 10 2 7 2 2" xfId="5380" xr:uid="{00000000-0005-0000-0000-000000090000}"/>
    <cellStyle name="Normal 10 2 7 3" xfId="4957" xr:uid="{00000000-0005-0000-0000-000001090000}"/>
    <cellStyle name="Normal 10 2 8" xfId="2085" xr:uid="{00000000-0005-0000-0000-000002090000}"/>
    <cellStyle name="Normal 10 2 9" xfId="2086" xr:uid="{00000000-0005-0000-0000-000003090000}"/>
    <cellStyle name="Normal 10 2 9 2" xfId="5153" xr:uid="{00000000-0005-0000-0000-000004090000}"/>
    <cellStyle name="Normal 10 3" xfId="2087" xr:uid="{00000000-0005-0000-0000-000005090000}"/>
    <cellStyle name="Normal 10 3 2" xfId="2088" xr:uid="{00000000-0005-0000-0000-000006090000}"/>
    <cellStyle name="Normal 10 3 2 2" xfId="5116" xr:uid="{00000000-0005-0000-0000-000007090000}"/>
    <cellStyle name="Normal 10 3 3" xfId="3697" xr:uid="{00000000-0005-0000-0000-000008090000}"/>
    <cellStyle name="Normal 10 4" xfId="2089" xr:uid="{00000000-0005-0000-0000-000009090000}"/>
    <cellStyle name="Normal 10 4 2" xfId="2090" xr:uid="{00000000-0005-0000-0000-00000A090000}"/>
    <cellStyle name="Normal 10 4 3" xfId="3932" xr:uid="{00000000-0005-0000-0000-00000B090000}"/>
    <cellStyle name="Normal 10 5" xfId="2091" xr:uid="{00000000-0005-0000-0000-00000C090000}"/>
    <cellStyle name="Normal 10 5 2" xfId="2092" xr:uid="{00000000-0005-0000-0000-00000D090000}"/>
    <cellStyle name="Normal 10 5 2 2" xfId="2093" xr:uid="{00000000-0005-0000-0000-00000E090000}"/>
    <cellStyle name="Normal 10 5 2 2 2" xfId="5387" xr:uid="{00000000-0005-0000-0000-00000F090000}"/>
    <cellStyle name="Normal 10 5 2 3" xfId="4964" xr:uid="{00000000-0005-0000-0000-000010090000}"/>
    <cellStyle name="Normal 10 5 3" xfId="2094" xr:uid="{00000000-0005-0000-0000-000011090000}"/>
    <cellStyle name="Normal 10 5 3 2" xfId="5301" xr:uid="{00000000-0005-0000-0000-000012090000}"/>
    <cellStyle name="Normal 10 5 4" xfId="4878" xr:uid="{00000000-0005-0000-0000-000013090000}"/>
    <cellStyle name="Normal 10 6" xfId="2095" xr:uid="{00000000-0005-0000-0000-000014090000}"/>
    <cellStyle name="Normal 100" xfId="2096" xr:uid="{00000000-0005-0000-0000-000015090000}"/>
    <cellStyle name="Normal 100 2" xfId="3934" xr:uid="{00000000-0005-0000-0000-000016090000}"/>
    <cellStyle name="Normal 101" xfId="2097" xr:uid="{00000000-0005-0000-0000-000017090000}"/>
    <cellStyle name="Normal 101 2" xfId="3935" xr:uid="{00000000-0005-0000-0000-000018090000}"/>
    <cellStyle name="Normal 102" xfId="2098" xr:uid="{00000000-0005-0000-0000-000019090000}"/>
    <cellStyle name="Normal 102 2" xfId="3936" xr:uid="{00000000-0005-0000-0000-00001A090000}"/>
    <cellStyle name="Normal 103" xfId="2099" xr:uid="{00000000-0005-0000-0000-00001B090000}"/>
    <cellStyle name="Normal 103 2" xfId="3937" xr:uid="{00000000-0005-0000-0000-00001C090000}"/>
    <cellStyle name="Normal 104" xfId="2100" xr:uid="{00000000-0005-0000-0000-00001D090000}"/>
    <cellStyle name="Normal 104 2" xfId="3938" xr:uid="{00000000-0005-0000-0000-00001E090000}"/>
    <cellStyle name="Normal 105" xfId="2101" xr:uid="{00000000-0005-0000-0000-00001F090000}"/>
    <cellStyle name="Normal 105 2" xfId="3939" xr:uid="{00000000-0005-0000-0000-000020090000}"/>
    <cellStyle name="Normal 106" xfId="2102" xr:uid="{00000000-0005-0000-0000-000021090000}"/>
    <cellStyle name="Normal 106 2" xfId="3940" xr:uid="{00000000-0005-0000-0000-000022090000}"/>
    <cellStyle name="Normal 107" xfId="2103" xr:uid="{00000000-0005-0000-0000-000023090000}"/>
    <cellStyle name="Normal 107 2" xfId="3941" xr:uid="{00000000-0005-0000-0000-000024090000}"/>
    <cellStyle name="Normal 108" xfId="2104" xr:uid="{00000000-0005-0000-0000-000025090000}"/>
    <cellStyle name="Normal 108 2" xfId="3942" xr:uid="{00000000-0005-0000-0000-000026090000}"/>
    <cellStyle name="Normal 109" xfId="2105" xr:uid="{00000000-0005-0000-0000-000027090000}"/>
    <cellStyle name="Normal 109 2" xfId="2106" xr:uid="{00000000-0005-0000-0000-000028090000}"/>
    <cellStyle name="Normal 109 2 2" xfId="3944" xr:uid="{00000000-0005-0000-0000-000029090000}"/>
    <cellStyle name="Normal 109 3" xfId="3943" xr:uid="{00000000-0005-0000-0000-00002A090000}"/>
    <cellStyle name="Normal 11" xfId="298" xr:uid="{00000000-0005-0000-0000-00002B090000}"/>
    <cellStyle name="Normal 11 2" xfId="445" xr:uid="{00000000-0005-0000-0000-00002C090000}"/>
    <cellStyle name="Normal 11 2 10" xfId="4712" xr:uid="{00000000-0005-0000-0000-00002D090000}"/>
    <cellStyle name="Normal 11 2 2" xfId="525" xr:uid="{00000000-0005-0000-0000-00002E090000}"/>
    <cellStyle name="Normal 11 2 2 2" xfId="779" xr:uid="{00000000-0005-0000-0000-00002F090000}"/>
    <cellStyle name="Normal 11 2 2 2 2" xfId="2107" xr:uid="{00000000-0005-0000-0000-000030090000}"/>
    <cellStyle name="Normal 11 2 2 2 2 2" xfId="2108" xr:uid="{00000000-0005-0000-0000-000031090000}"/>
    <cellStyle name="Normal 11 2 2 2 2 2 2" xfId="5390" xr:uid="{00000000-0005-0000-0000-000032090000}"/>
    <cellStyle name="Normal 11 2 2 2 2 3" xfId="4967" xr:uid="{00000000-0005-0000-0000-000033090000}"/>
    <cellStyle name="Normal 11 2 2 2 3" xfId="2109" xr:uid="{00000000-0005-0000-0000-000034090000}"/>
    <cellStyle name="Normal 11 2 2 2 3 2" xfId="5234" xr:uid="{00000000-0005-0000-0000-000035090000}"/>
    <cellStyle name="Normal 11 2 2 2 4" xfId="4808" xr:uid="{00000000-0005-0000-0000-000036090000}"/>
    <cellStyle name="Normal 11 2 2 3" xfId="2110" xr:uid="{00000000-0005-0000-0000-000037090000}"/>
    <cellStyle name="Normal 11 2 2 3 2" xfId="2111" xr:uid="{00000000-0005-0000-0000-000038090000}"/>
    <cellStyle name="Normal 11 2 2 3 2 2" xfId="5389" xr:uid="{00000000-0005-0000-0000-000039090000}"/>
    <cellStyle name="Normal 11 2 2 3 3" xfId="4966" xr:uid="{00000000-0005-0000-0000-00003A090000}"/>
    <cellStyle name="Normal 11 2 2 4" xfId="2112" xr:uid="{00000000-0005-0000-0000-00003B090000}"/>
    <cellStyle name="Normal 11 2 2 4 2" xfId="5194" xr:uid="{00000000-0005-0000-0000-00003C090000}"/>
    <cellStyle name="Normal 11 2 2 5" xfId="4765" xr:uid="{00000000-0005-0000-0000-00003D090000}"/>
    <cellStyle name="Normal 11 2 3" xfId="699" xr:uid="{00000000-0005-0000-0000-00003E090000}"/>
    <cellStyle name="Normal 11 2 3 2" xfId="2113" xr:uid="{00000000-0005-0000-0000-00003F090000}"/>
    <cellStyle name="Normal 11 2 3 2 2" xfId="2114" xr:uid="{00000000-0005-0000-0000-000040090000}"/>
    <cellStyle name="Normal 11 2 3 2 2 2" xfId="5391" xr:uid="{00000000-0005-0000-0000-000041090000}"/>
    <cellStyle name="Normal 11 2 3 2 3" xfId="4968" xr:uid="{00000000-0005-0000-0000-000042090000}"/>
    <cellStyle name="Normal 11 2 3 3" xfId="2115" xr:uid="{00000000-0005-0000-0000-000043090000}"/>
    <cellStyle name="Normal 11 2 3 3 2" xfId="5256" xr:uid="{00000000-0005-0000-0000-000044090000}"/>
    <cellStyle name="Normal 11 2 3 4" xfId="4831" xr:uid="{00000000-0005-0000-0000-000045090000}"/>
    <cellStyle name="Normal 11 2 4" xfId="2116" xr:uid="{00000000-0005-0000-0000-000046090000}"/>
    <cellStyle name="Normal 11 2 4 2" xfId="2117" xr:uid="{00000000-0005-0000-0000-000047090000}"/>
    <cellStyle name="Normal 11 2 4 2 2" xfId="2118" xr:uid="{00000000-0005-0000-0000-000048090000}"/>
    <cellStyle name="Normal 11 2 4 2 2 2" xfId="5392" xr:uid="{00000000-0005-0000-0000-000049090000}"/>
    <cellStyle name="Normal 11 2 4 2 3" xfId="4969" xr:uid="{00000000-0005-0000-0000-00004A090000}"/>
    <cellStyle name="Normal 11 2 4 3" xfId="2119" xr:uid="{00000000-0005-0000-0000-00004B090000}"/>
    <cellStyle name="Normal 11 2 4 3 2" xfId="5218" xr:uid="{00000000-0005-0000-0000-00004C090000}"/>
    <cellStyle name="Normal 11 2 4 4" xfId="4792" xr:uid="{00000000-0005-0000-0000-00004D090000}"/>
    <cellStyle name="Normal 11 2 5" xfId="2120" xr:uid="{00000000-0005-0000-0000-00004E090000}"/>
    <cellStyle name="Normal 11 2 5 2" xfId="2121" xr:uid="{00000000-0005-0000-0000-00004F090000}"/>
    <cellStyle name="Normal 11 2 5 2 2" xfId="2122" xr:uid="{00000000-0005-0000-0000-000050090000}"/>
    <cellStyle name="Normal 11 2 5 2 2 2" xfId="5393" xr:uid="{00000000-0005-0000-0000-000051090000}"/>
    <cellStyle name="Normal 11 2 5 2 3" xfId="4970" xr:uid="{00000000-0005-0000-0000-000052090000}"/>
    <cellStyle name="Normal 11 2 5 3" xfId="2123" xr:uid="{00000000-0005-0000-0000-000053090000}"/>
    <cellStyle name="Normal 11 2 5 3 2" xfId="5292" xr:uid="{00000000-0005-0000-0000-000054090000}"/>
    <cellStyle name="Normal 11 2 5 4" xfId="4869" xr:uid="{00000000-0005-0000-0000-000055090000}"/>
    <cellStyle name="Normal 11 2 6" xfId="2124" xr:uid="{00000000-0005-0000-0000-000056090000}"/>
    <cellStyle name="Normal 11 2 6 2" xfId="2125" xr:uid="{00000000-0005-0000-0000-000057090000}"/>
    <cellStyle name="Normal 11 2 6 2 2" xfId="2126" xr:uid="{00000000-0005-0000-0000-000058090000}"/>
    <cellStyle name="Normal 11 2 6 2 2 2" xfId="5394" xr:uid="{00000000-0005-0000-0000-000059090000}"/>
    <cellStyle name="Normal 11 2 6 2 3" xfId="4971" xr:uid="{00000000-0005-0000-0000-00005A090000}"/>
    <cellStyle name="Normal 11 2 6 3" xfId="2127" xr:uid="{00000000-0005-0000-0000-00005B090000}"/>
    <cellStyle name="Normal 11 2 6 3 2" xfId="5178" xr:uid="{00000000-0005-0000-0000-00005C090000}"/>
    <cellStyle name="Normal 11 2 6 4" xfId="4749" xr:uid="{00000000-0005-0000-0000-00005D090000}"/>
    <cellStyle name="Normal 11 2 7" xfId="2128" xr:uid="{00000000-0005-0000-0000-00005E090000}"/>
    <cellStyle name="Normal 11 2 7 2" xfId="2129" xr:uid="{00000000-0005-0000-0000-00005F090000}"/>
    <cellStyle name="Normal 11 2 7 2 2" xfId="5388" xr:uid="{00000000-0005-0000-0000-000060090000}"/>
    <cellStyle name="Normal 11 2 7 3" xfId="4965" xr:uid="{00000000-0005-0000-0000-000061090000}"/>
    <cellStyle name="Normal 11 2 8" xfId="2130" xr:uid="{00000000-0005-0000-0000-000062090000}"/>
    <cellStyle name="Normal 11 2 9" xfId="2131" xr:uid="{00000000-0005-0000-0000-000063090000}"/>
    <cellStyle name="Normal 11 2 9 2" xfId="5154" xr:uid="{00000000-0005-0000-0000-000064090000}"/>
    <cellStyle name="Normal 11 3" xfId="524" xr:uid="{00000000-0005-0000-0000-000065090000}"/>
    <cellStyle name="Normal 11 3 2" xfId="778" xr:uid="{00000000-0005-0000-0000-000066090000}"/>
    <cellStyle name="Normal 11 3 2 2" xfId="3804" xr:uid="{00000000-0005-0000-0000-000067090000}"/>
    <cellStyle name="Normal 11 3 3" xfId="2132" xr:uid="{00000000-0005-0000-0000-000068090000}"/>
    <cellStyle name="Normal 11 3 3 2" xfId="3805" xr:uid="{00000000-0005-0000-0000-000069090000}"/>
    <cellStyle name="Normal 11 3 3 3" xfId="5103" xr:uid="{00000000-0005-0000-0000-00006A090000}"/>
    <cellStyle name="Normal 11 3 4" xfId="2133" xr:uid="{00000000-0005-0000-0000-00006B090000}"/>
    <cellStyle name="Normal 11 3 5" xfId="4711" xr:uid="{00000000-0005-0000-0000-00006C090000}"/>
    <cellStyle name="Normal 11 4" xfId="637" xr:uid="{00000000-0005-0000-0000-00006D090000}"/>
    <cellStyle name="Normal 11 4 2" xfId="2134" xr:uid="{00000000-0005-0000-0000-00006E090000}"/>
    <cellStyle name="Normal 11 4 3" xfId="3699" xr:uid="{00000000-0005-0000-0000-00006F090000}"/>
    <cellStyle name="Normal 11 5" xfId="2135" xr:uid="{00000000-0005-0000-0000-000070090000}"/>
    <cellStyle name="Normal 11 5 2" xfId="2136" xr:uid="{00000000-0005-0000-0000-000071090000}"/>
    <cellStyle name="Normal 11 5 2 2" xfId="2137" xr:uid="{00000000-0005-0000-0000-000072090000}"/>
    <cellStyle name="Normal 11 5 2 2 2" xfId="5395" xr:uid="{00000000-0005-0000-0000-000073090000}"/>
    <cellStyle name="Normal 11 5 2 3" xfId="4972" xr:uid="{00000000-0005-0000-0000-000074090000}"/>
    <cellStyle name="Normal 11 5 3" xfId="2138" xr:uid="{00000000-0005-0000-0000-000075090000}"/>
    <cellStyle name="Normal 11 5 3 2" xfId="5302" xr:uid="{00000000-0005-0000-0000-000076090000}"/>
    <cellStyle name="Normal 11 5 4" xfId="4879" xr:uid="{00000000-0005-0000-0000-000077090000}"/>
    <cellStyle name="Normal 11 6" xfId="2139" xr:uid="{00000000-0005-0000-0000-000078090000}"/>
    <cellStyle name="Normal 11 7" xfId="2140" xr:uid="{00000000-0005-0000-0000-000079090000}"/>
    <cellStyle name="Normal 11 8" xfId="3698" xr:uid="{00000000-0005-0000-0000-00007A090000}"/>
    <cellStyle name="Normal 110" xfId="2141" xr:uid="{00000000-0005-0000-0000-00007B090000}"/>
    <cellStyle name="Normal 110 2" xfId="2142" xr:uid="{00000000-0005-0000-0000-00007C090000}"/>
    <cellStyle name="Normal 110 2 2" xfId="3946" xr:uid="{00000000-0005-0000-0000-00007D090000}"/>
    <cellStyle name="Normal 110 3" xfId="3945" xr:uid="{00000000-0005-0000-0000-00007E090000}"/>
    <cellStyle name="Normal 111" xfId="2143" xr:uid="{00000000-0005-0000-0000-00007F090000}"/>
    <cellStyle name="Normal 111 2" xfId="2144" xr:uid="{00000000-0005-0000-0000-000080090000}"/>
    <cellStyle name="Normal 111 2 2" xfId="3948" xr:uid="{00000000-0005-0000-0000-000081090000}"/>
    <cellStyle name="Normal 111 3" xfId="3947" xr:uid="{00000000-0005-0000-0000-000082090000}"/>
    <cellStyle name="Normal 112" xfId="2145" xr:uid="{00000000-0005-0000-0000-000083090000}"/>
    <cellStyle name="Normal 112 2" xfId="2146" xr:uid="{00000000-0005-0000-0000-000084090000}"/>
    <cellStyle name="Normal 112 2 2" xfId="3950" xr:uid="{00000000-0005-0000-0000-000085090000}"/>
    <cellStyle name="Normal 112 3" xfId="3949" xr:uid="{00000000-0005-0000-0000-000086090000}"/>
    <cellStyle name="Normal 113" xfId="2147" xr:uid="{00000000-0005-0000-0000-000087090000}"/>
    <cellStyle name="Normal 113 2" xfId="2148" xr:uid="{00000000-0005-0000-0000-000088090000}"/>
    <cellStyle name="Normal 113 2 2" xfId="3952" xr:uid="{00000000-0005-0000-0000-000089090000}"/>
    <cellStyle name="Normal 113 3" xfId="3951" xr:uid="{00000000-0005-0000-0000-00008A090000}"/>
    <cellStyle name="Normal 114" xfId="2149" xr:uid="{00000000-0005-0000-0000-00008B090000}"/>
    <cellStyle name="Normal 114 2" xfId="2150" xr:uid="{00000000-0005-0000-0000-00008C090000}"/>
    <cellStyle name="Normal 114 2 2" xfId="3954" xr:uid="{00000000-0005-0000-0000-00008D090000}"/>
    <cellStyle name="Normal 114 3" xfId="3953" xr:uid="{00000000-0005-0000-0000-00008E090000}"/>
    <cellStyle name="Normal 115" xfId="2151" xr:uid="{00000000-0005-0000-0000-00008F090000}"/>
    <cellStyle name="Normal 115 2" xfId="2152" xr:uid="{00000000-0005-0000-0000-000090090000}"/>
    <cellStyle name="Normal 115 2 2" xfId="3956" xr:uid="{00000000-0005-0000-0000-000091090000}"/>
    <cellStyle name="Normal 115 3" xfId="3955" xr:uid="{00000000-0005-0000-0000-000092090000}"/>
    <cellStyle name="Normal 116" xfId="2153" xr:uid="{00000000-0005-0000-0000-000093090000}"/>
    <cellStyle name="Normal 116 2" xfId="3957" xr:uid="{00000000-0005-0000-0000-000094090000}"/>
    <cellStyle name="Normal 117" xfId="2154" xr:uid="{00000000-0005-0000-0000-000095090000}"/>
    <cellStyle name="Normal 117 2" xfId="3958" xr:uid="{00000000-0005-0000-0000-000096090000}"/>
    <cellStyle name="Normal 118" xfId="2155" xr:uid="{00000000-0005-0000-0000-000097090000}"/>
    <cellStyle name="Normal 118 2" xfId="3959" xr:uid="{00000000-0005-0000-0000-000098090000}"/>
    <cellStyle name="Normal 119" xfId="2156" xr:uid="{00000000-0005-0000-0000-000099090000}"/>
    <cellStyle name="Normal 119 2" xfId="3960" xr:uid="{00000000-0005-0000-0000-00009A090000}"/>
    <cellStyle name="Normal 12" xfId="9" xr:uid="{00000000-0005-0000-0000-00009B090000}"/>
    <cellStyle name="Normal 12 2" xfId="394" xr:uid="{00000000-0005-0000-0000-00009C090000}"/>
    <cellStyle name="Normal 12 3" xfId="2157" xr:uid="{00000000-0005-0000-0000-00009D090000}"/>
    <cellStyle name="Normal 12 3 2" xfId="2158" xr:uid="{00000000-0005-0000-0000-00009E090000}"/>
    <cellStyle name="Normal 12 3 2 2" xfId="2159" xr:uid="{00000000-0005-0000-0000-00009F090000}"/>
    <cellStyle name="Normal 12 3 2 2 2" xfId="5396" xr:uid="{00000000-0005-0000-0000-0000A0090000}"/>
    <cellStyle name="Normal 12 3 2 3" xfId="4973" xr:uid="{00000000-0005-0000-0000-0000A1090000}"/>
    <cellStyle name="Normal 12 3 3" xfId="2160" xr:uid="{00000000-0005-0000-0000-0000A2090000}"/>
    <cellStyle name="Normal 12 3 3 2" xfId="5303" xr:uid="{00000000-0005-0000-0000-0000A3090000}"/>
    <cellStyle name="Normal 12 3 4" xfId="4880" xr:uid="{00000000-0005-0000-0000-0000A4090000}"/>
    <cellStyle name="Normal 12 4" xfId="2161" xr:uid="{00000000-0005-0000-0000-0000A5090000}"/>
    <cellStyle name="Normal 120" xfId="2162" xr:uid="{00000000-0005-0000-0000-0000A6090000}"/>
    <cellStyle name="Normal 120 2" xfId="3961" xr:uid="{00000000-0005-0000-0000-0000A7090000}"/>
    <cellStyle name="Normal 121" xfId="2163" xr:uid="{00000000-0005-0000-0000-0000A8090000}"/>
    <cellStyle name="Normal 121 2" xfId="3962" xr:uid="{00000000-0005-0000-0000-0000A9090000}"/>
    <cellStyle name="Normal 122" xfId="2164" xr:uid="{00000000-0005-0000-0000-0000AA090000}"/>
    <cellStyle name="Normal 122 2" xfId="3963" xr:uid="{00000000-0005-0000-0000-0000AB090000}"/>
    <cellStyle name="Normal 123" xfId="2165" xr:uid="{00000000-0005-0000-0000-0000AC090000}"/>
    <cellStyle name="Normal 123 2" xfId="3964" xr:uid="{00000000-0005-0000-0000-0000AD090000}"/>
    <cellStyle name="Normal 124" xfId="2166" xr:uid="{00000000-0005-0000-0000-0000AE090000}"/>
    <cellStyle name="Normal 124 2" xfId="3965" xr:uid="{00000000-0005-0000-0000-0000AF090000}"/>
    <cellStyle name="Normal 125" xfId="2167" xr:uid="{00000000-0005-0000-0000-0000B0090000}"/>
    <cellStyle name="Normal 125 2" xfId="3966" xr:uid="{00000000-0005-0000-0000-0000B1090000}"/>
    <cellStyle name="Normal 126" xfId="2168" xr:uid="{00000000-0005-0000-0000-0000B2090000}"/>
    <cellStyle name="Normal 126 2" xfId="3967" xr:uid="{00000000-0005-0000-0000-0000B3090000}"/>
    <cellStyle name="Normal 127" xfId="2169" xr:uid="{00000000-0005-0000-0000-0000B4090000}"/>
    <cellStyle name="Normal 127 2" xfId="3968" xr:uid="{00000000-0005-0000-0000-0000B5090000}"/>
    <cellStyle name="Normal 128" xfId="2170" xr:uid="{00000000-0005-0000-0000-0000B6090000}"/>
    <cellStyle name="Normal 128 2" xfId="3969" xr:uid="{00000000-0005-0000-0000-0000B7090000}"/>
    <cellStyle name="Normal 129" xfId="2171" xr:uid="{00000000-0005-0000-0000-0000B8090000}"/>
    <cellStyle name="Normal 129 2" xfId="3970" xr:uid="{00000000-0005-0000-0000-0000B9090000}"/>
    <cellStyle name="Normal 13" xfId="299" xr:uid="{00000000-0005-0000-0000-0000BA090000}"/>
    <cellStyle name="Normal 13 2" xfId="2172" xr:uid="{00000000-0005-0000-0000-0000BB090000}"/>
    <cellStyle name="Normal 13 2 2" xfId="3971" xr:uid="{00000000-0005-0000-0000-0000BC090000}"/>
    <cellStyle name="Normal 13 3" xfId="2173" xr:uid="{00000000-0005-0000-0000-0000BD090000}"/>
    <cellStyle name="Normal 13 4" xfId="2174" xr:uid="{00000000-0005-0000-0000-0000BE090000}"/>
    <cellStyle name="Normal 13 4 2" xfId="2175" xr:uid="{00000000-0005-0000-0000-0000BF090000}"/>
    <cellStyle name="Normal 13 5" xfId="2176" xr:uid="{00000000-0005-0000-0000-0000C0090000}"/>
    <cellStyle name="Normal 13 5 2" xfId="2177" xr:uid="{00000000-0005-0000-0000-0000C1090000}"/>
    <cellStyle name="Normal 13 5 2 2" xfId="2178" xr:uid="{00000000-0005-0000-0000-0000C2090000}"/>
    <cellStyle name="Normal 13 5 2 2 2" xfId="5397" xr:uid="{00000000-0005-0000-0000-0000C3090000}"/>
    <cellStyle name="Normal 13 5 2 3" xfId="4974" xr:uid="{00000000-0005-0000-0000-0000C4090000}"/>
    <cellStyle name="Normal 13 5 3" xfId="2179" xr:uid="{00000000-0005-0000-0000-0000C5090000}"/>
    <cellStyle name="Normal 13 5 3 2" xfId="5304" xr:uid="{00000000-0005-0000-0000-0000C6090000}"/>
    <cellStyle name="Normal 13 5 4" xfId="4881" xr:uid="{00000000-0005-0000-0000-0000C7090000}"/>
    <cellStyle name="Normal 130" xfId="2180" xr:uid="{00000000-0005-0000-0000-0000C8090000}"/>
    <cellStyle name="Normal 130 2" xfId="3972" xr:uid="{00000000-0005-0000-0000-0000C9090000}"/>
    <cellStyle name="Normal 131" xfId="2181" xr:uid="{00000000-0005-0000-0000-0000CA090000}"/>
    <cellStyle name="Normal 131 2" xfId="3973" xr:uid="{00000000-0005-0000-0000-0000CB090000}"/>
    <cellStyle name="Normal 132" xfId="2182" xr:uid="{00000000-0005-0000-0000-0000CC090000}"/>
    <cellStyle name="Normal 132 2" xfId="2183" xr:uid="{00000000-0005-0000-0000-0000CD090000}"/>
    <cellStyle name="Normal 132 2 2" xfId="3975" xr:uid="{00000000-0005-0000-0000-0000CE090000}"/>
    <cellStyle name="Normal 132 3" xfId="3974" xr:uid="{00000000-0005-0000-0000-0000CF090000}"/>
    <cellStyle name="Normal 133" xfId="2184" xr:uid="{00000000-0005-0000-0000-0000D0090000}"/>
    <cellStyle name="Normal 133 2" xfId="2185" xr:uid="{00000000-0005-0000-0000-0000D1090000}"/>
    <cellStyle name="Normal 133 2 2" xfId="3977" xr:uid="{00000000-0005-0000-0000-0000D2090000}"/>
    <cellStyle name="Normal 133 3" xfId="3976" xr:uid="{00000000-0005-0000-0000-0000D3090000}"/>
    <cellStyle name="Normal 134" xfId="2186" xr:uid="{00000000-0005-0000-0000-0000D4090000}"/>
    <cellStyle name="Normal 134 2" xfId="2187" xr:uid="{00000000-0005-0000-0000-0000D5090000}"/>
    <cellStyle name="Normal 134 2 2" xfId="3979" xr:uid="{00000000-0005-0000-0000-0000D6090000}"/>
    <cellStyle name="Normal 134 3" xfId="3978" xr:uid="{00000000-0005-0000-0000-0000D7090000}"/>
    <cellStyle name="Normal 135" xfId="2188" xr:uid="{00000000-0005-0000-0000-0000D8090000}"/>
    <cellStyle name="Normal 135 2" xfId="2189" xr:uid="{00000000-0005-0000-0000-0000D9090000}"/>
    <cellStyle name="Normal 135 2 2" xfId="3981" xr:uid="{00000000-0005-0000-0000-0000DA090000}"/>
    <cellStyle name="Normal 135 3" xfId="3980" xr:uid="{00000000-0005-0000-0000-0000DB090000}"/>
    <cellStyle name="Normal 136" xfId="2190" xr:uid="{00000000-0005-0000-0000-0000DC090000}"/>
    <cellStyle name="Normal 136 2" xfId="2191" xr:uid="{00000000-0005-0000-0000-0000DD090000}"/>
    <cellStyle name="Normal 136 2 2" xfId="3983" xr:uid="{00000000-0005-0000-0000-0000DE090000}"/>
    <cellStyle name="Normal 136 3" xfId="3982" xr:uid="{00000000-0005-0000-0000-0000DF090000}"/>
    <cellStyle name="Normal 137" xfId="2192" xr:uid="{00000000-0005-0000-0000-0000E0090000}"/>
    <cellStyle name="Normal 137 2" xfId="2193" xr:uid="{00000000-0005-0000-0000-0000E1090000}"/>
    <cellStyle name="Normal 137 2 2" xfId="3985" xr:uid="{00000000-0005-0000-0000-0000E2090000}"/>
    <cellStyle name="Normal 137 3" xfId="3984" xr:uid="{00000000-0005-0000-0000-0000E3090000}"/>
    <cellStyle name="Normal 138" xfId="2194" xr:uid="{00000000-0005-0000-0000-0000E4090000}"/>
    <cellStyle name="Normal 138 2" xfId="2195" xr:uid="{00000000-0005-0000-0000-0000E5090000}"/>
    <cellStyle name="Normal 138 2 2" xfId="3987" xr:uid="{00000000-0005-0000-0000-0000E6090000}"/>
    <cellStyle name="Normal 138 3" xfId="3986" xr:uid="{00000000-0005-0000-0000-0000E7090000}"/>
    <cellStyle name="Normal 139" xfId="2196" xr:uid="{00000000-0005-0000-0000-0000E8090000}"/>
    <cellStyle name="Normal 139 2" xfId="2197" xr:uid="{00000000-0005-0000-0000-0000E9090000}"/>
    <cellStyle name="Normal 139 2 2" xfId="3989" xr:uid="{00000000-0005-0000-0000-0000EA090000}"/>
    <cellStyle name="Normal 139 3" xfId="3988" xr:uid="{00000000-0005-0000-0000-0000EB090000}"/>
    <cellStyle name="Normal 14" xfId="300" xr:uid="{00000000-0005-0000-0000-0000EC090000}"/>
    <cellStyle name="Normal 14 10" xfId="4713" xr:uid="{00000000-0005-0000-0000-0000ED090000}"/>
    <cellStyle name="Normal 14 2" xfId="2198" xr:uid="{00000000-0005-0000-0000-0000EE090000}"/>
    <cellStyle name="Normal 14 2 10" xfId="3990" xr:uid="{00000000-0005-0000-0000-0000EF090000}"/>
    <cellStyle name="Normal 14 2 11" xfId="4714" xr:uid="{00000000-0005-0000-0000-0000F0090000}"/>
    <cellStyle name="Normal 14 2 2" xfId="2199" xr:uid="{00000000-0005-0000-0000-0000F1090000}"/>
    <cellStyle name="Normal 14 2 2 2" xfId="2200" xr:uid="{00000000-0005-0000-0000-0000F2090000}"/>
    <cellStyle name="Normal 14 2 2 2 2" xfId="2201" xr:uid="{00000000-0005-0000-0000-0000F3090000}"/>
    <cellStyle name="Normal 14 2 2 2 2 2" xfId="2202" xr:uid="{00000000-0005-0000-0000-0000F4090000}"/>
    <cellStyle name="Normal 14 2 2 2 2 2 2" xfId="2203" xr:uid="{00000000-0005-0000-0000-0000F5090000}"/>
    <cellStyle name="Normal 14 2 2 2 2 2 2 2" xfId="5402" xr:uid="{00000000-0005-0000-0000-0000F6090000}"/>
    <cellStyle name="Normal 14 2 2 2 2 2 3" xfId="4979" xr:uid="{00000000-0005-0000-0000-0000F7090000}"/>
    <cellStyle name="Normal 14 2 2 2 2 3" xfId="2204" xr:uid="{00000000-0005-0000-0000-0000F8090000}"/>
    <cellStyle name="Normal 14 2 2 2 2 3 2" xfId="5236" xr:uid="{00000000-0005-0000-0000-0000F9090000}"/>
    <cellStyle name="Normal 14 2 2 2 2 4" xfId="4810" xr:uid="{00000000-0005-0000-0000-0000FA090000}"/>
    <cellStyle name="Normal 14 2 2 2 3" xfId="2205" xr:uid="{00000000-0005-0000-0000-0000FB090000}"/>
    <cellStyle name="Normal 14 2 2 2 3 2" xfId="2206" xr:uid="{00000000-0005-0000-0000-0000FC090000}"/>
    <cellStyle name="Normal 14 2 2 2 3 2 2" xfId="5401" xr:uid="{00000000-0005-0000-0000-0000FD090000}"/>
    <cellStyle name="Normal 14 2 2 2 3 3" xfId="4978" xr:uid="{00000000-0005-0000-0000-0000FE090000}"/>
    <cellStyle name="Normal 14 2 2 2 4" xfId="2207" xr:uid="{00000000-0005-0000-0000-0000FF090000}"/>
    <cellStyle name="Normal 14 2 2 2 4 2" xfId="5196" xr:uid="{00000000-0005-0000-0000-0000000A0000}"/>
    <cellStyle name="Normal 14 2 2 2 5" xfId="4767" xr:uid="{00000000-0005-0000-0000-0000010A0000}"/>
    <cellStyle name="Normal 14 2 2 3" xfId="2208" xr:uid="{00000000-0005-0000-0000-0000020A0000}"/>
    <cellStyle name="Normal 14 2 2 3 2" xfId="2209" xr:uid="{00000000-0005-0000-0000-0000030A0000}"/>
    <cellStyle name="Normal 14 2 2 3 2 2" xfId="2210" xr:uid="{00000000-0005-0000-0000-0000040A0000}"/>
    <cellStyle name="Normal 14 2 2 3 2 2 2" xfId="5403" xr:uid="{00000000-0005-0000-0000-0000050A0000}"/>
    <cellStyle name="Normal 14 2 2 3 2 3" xfId="4980" xr:uid="{00000000-0005-0000-0000-0000060A0000}"/>
    <cellStyle name="Normal 14 2 2 3 3" xfId="2211" xr:uid="{00000000-0005-0000-0000-0000070A0000}"/>
    <cellStyle name="Normal 14 2 2 3 3 2" xfId="5259" xr:uid="{00000000-0005-0000-0000-0000080A0000}"/>
    <cellStyle name="Normal 14 2 2 3 4" xfId="4834" xr:uid="{00000000-0005-0000-0000-0000090A0000}"/>
    <cellStyle name="Normal 14 2 2 4" xfId="2212" xr:uid="{00000000-0005-0000-0000-00000A0A0000}"/>
    <cellStyle name="Normal 14 2 2 4 2" xfId="2213" xr:uid="{00000000-0005-0000-0000-00000B0A0000}"/>
    <cellStyle name="Normal 14 2 2 4 2 2" xfId="2214" xr:uid="{00000000-0005-0000-0000-00000C0A0000}"/>
    <cellStyle name="Normal 14 2 2 4 2 2 2" xfId="5404" xr:uid="{00000000-0005-0000-0000-00000D0A0000}"/>
    <cellStyle name="Normal 14 2 2 4 2 3" xfId="4981" xr:uid="{00000000-0005-0000-0000-00000E0A0000}"/>
    <cellStyle name="Normal 14 2 2 4 3" xfId="2215" xr:uid="{00000000-0005-0000-0000-00000F0A0000}"/>
    <cellStyle name="Normal 14 2 2 4 3 2" xfId="5220" xr:uid="{00000000-0005-0000-0000-0000100A0000}"/>
    <cellStyle name="Normal 14 2 2 4 4" xfId="4794" xr:uid="{00000000-0005-0000-0000-0000110A0000}"/>
    <cellStyle name="Normal 14 2 2 5" xfId="2216" xr:uid="{00000000-0005-0000-0000-0000120A0000}"/>
    <cellStyle name="Normal 14 2 2 5 2" xfId="2217" xr:uid="{00000000-0005-0000-0000-0000130A0000}"/>
    <cellStyle name="Normal 14 2 2 5 2 2" xfId="2218" xr:uid="{00000000-0005-0000-0000-0000140A0000}"/>
    <cellStyle name="Normal 14 2 2 5 2 2 2" xfId="5405" xr:uid="{00000000-0005-0000-0000-0000150A0000}"/>
    <cellStyle name="Normal 14 2 2 5 2 3" xfId="4982" xr:uid="{00000000-0005-0000-0000-0000160A0000}"/>
    <cellStyle name="Normal 14 2 2 5 3" xfId="2219" xr:uid="{00000000-0005-0000-0000-0000170A0000}"/>
    <cellStyle name="Normal 14 2 2 5 3 2" xfId="5295" xr:uid="{00000000-0005-0000-0000-0000180A0000}"/>
    <cellStyle name="Normal 14 2 2 5 4" xfId="4872" xr:uid="{00000000-0005-0000-0000-0000190A0000}"/>
    <cellStyle name="Normal 14 2 2 6" xfId="2220" xr:uid="{00000000-0005-0000-0000-00001A0A0000}"/>
    <cellStyle name="Normal 14 2 2 6 2" xfId="2221" xr:uid="{00000000-0005-0000-0000-00001B0A0000}"/>
    <cellStyle name="Normal 14 2 2 6 2 2" xfId="2222" xr:uid="{00000000-0005-0000-0000-00001C0A0000}"/>
    <cellStyle name="Normal 14 2 2 6 2 2 2" xfId="5406" xr:uid="{00000000-0005-0000-0000-00001D0A0000}"/>
    <cellStyle name="Normal 14 2 2 6 2 3" xfId="4983" xr:uid="{00000000-0005-0000-0000-00001E0A0000}"/>
    <cellStyle name="Normal 14 2 2 6 3" xfId="2223" xr:uid="{00000000-0005-0000-0000-00001F0A0000}"/>
    <cellStyle name="Normal 14 2 2 6 3 2" xfId="5180" xr:uid="{00000000-0005-0000-0000-0000200A0000}"/>
    <cellStyle name="Normal 14 2 2 6 4" xfId="4751" xr:uid="{00000000-0005-0000-0000-0000210A0000}"/>
    <cellStyle name="Normal 14 2 2 7" xfId="2224" xr:uid="{00000000-0005-0000-0000-0000220A0000}"/>
    <cellStyle name="Normal 14 2 2 7 2" xfId="2225" xr:uid="{00000000-0005-0000-0000-0000230A0000}"/>
    <cellStyle name="Normal 14 2 2 7 2 2" xfId="5400" xr:uid="{00000000-0005-0000-0000-0000240A0000}"/>
    <cellStyle name="Normal 14 2 2 7 3" xfId="4977" xr:uid="{00000000-0005-0000-0000-0000250A0000}"/>
    <cellStyle name="Normal 14 2 2 8" xfId="2226" xr:uid="{00000000-0005-0000-0000-0000260A0000}"/>
    <cellStyle name="Normal 14 2 2 8 2" xfId="5157" xr:uid="{00000000-0005-0000-0000-0000270A0000}"/>
    <cellStyle name="Normal 14 2 2 9" xfId="4715" xr:uid="{00000000-0005-0000-0000-0000280A0000}"/>
    <cellStyle name="Normal 14 2 3" xfId="2227" xr:uid="{00000000-0005-0000-0000-0000290A0000}"/>
    <cellStyle name="Normal 14 2 3 2" xfId="2228" xr:uid="{00000000-0005-0000-0000-00002A0A0000}"/>
    <cellStyle name="Normal 14 2 3 2 2" xfId="2229" xr:uid="{00000000-0005-0000-0000-00002B0A0000}"/>
    <cellStyle name="Normal 14 2 3 2 2 2" xfId="2230" xr:uid="{00000000-0005-0000-0000-00002C0A0000}"/>
    <cellStyle name="Normal 14 2 3 2 2 2 2" xfId="5408" xr:uid="{00000000-0005-0000-0000-00002D0A0000}"/>
    <cellStyle name="Normal 14 2 3 2 2 3" xfId="4985" xr:uid="{00000000-0005-0000-0000-00002E0A0000}"/>
    <cellStyle name="Normal 14 2 3 2 3" xfId="2231" xr:uid="{00000000-0005-0000-0000-00002F0A0000}"/>
    <cellStyle name="Normal 14 2 3 2 3 2" xfId="5235" xr:uid="{00000000-0005-0000-0000-0000300A0000}"/>
    <cellStyle name="Normal 14 2 3 2 4" xfId="4809" xr:uid="{00000000-0005-0000-0000-0000310A0000}"/>
    <cellStyle name="Normal 14 2 3 3" xfId="2232" xr:uid="{00000000-0005-0000-0000-0000320A0000}"/>
    <cellStyle name="Normal 14 2 3 3 2" xfId="2233" xr:uid="{00000000-0005-0000-0000-0000330A0000}"/>
    <cellStyle name="Normal 14 2 3 3 2 2" xfId="5407" xr:uid="{00000000-0005-0000-0000-0000340A0000}"/>
    <cellStyle name="Normal 14 2 3 3 3" xfId="4984" xr:uid="{00000000-0005-0000-0000-0000350A0000}"/>
    <cellStyle name="Normal 14 2 3 4" xfId="2234" xr:uid="{00000000-0005-0000-0000-0000360A0000}"/>
    <cellStyle name="Normal 14 2 3 4 2" xfId="5195" xr:uid="{00000000-0005-0000-0000-0000370A0000}"/>
    <cellStyle name="Normal 14 2 3 5" xfId="4766" xr:uid="{00000000-0005-0000-0000-0000380A0000}"/>
    <cellStyle name="Normal 14 2 4" xfId="2235" xr:uid="{00000000-0005-0000-0000-0000390A0000}"/>
    <cellStyle name="Normal 14 2 4 2" xfId="2236" xr:uid="{00000000-0005-0000-0000-00003A0A0000}"/>
    <cellStyle name="Normal 14 2 4 2 2" xfId="2237" xr:uid="{00000000-0005-0000-0000-00003B0A0000}"/>
    <cellStyle name="Normal 14 2 4 2 2 2" xfId="5409" xr:uid="{00000000-0005-0000-0000-00003C0A0000}"/>
    <cellStyle name="Normal 14 2 4 2 3" xfId="4986" xr:uid="{00000000-0005-0000-0000-00003D0A0000}"/>
    <cellStyle name="Normal 14 2 4 3" xfId="2238" xr:uid="{00000000-0005-0000-0000-00003E0A0000}"/>
    <cellStyle name="Normal 14 2 4 3 2" xfId="5258" xr:uid="{00000000-0005-0000-0000-00003F0A0000}"/>
    <cellStyle name="Normal 14 2 4 4" xfId="4833" xr:uid="{00000000-0005-0000-0000-0000400A0000}"/>
    <cellStyle name="Normal 14 2 5" xfId="2239" xr:uid="{00000000-0005-0000-0000-0000410A0000}"/>
    <cellStyle name="Normal 14 2 5 2" xfId="2240" xr:uid="{00000000-0005-0000-0000-0000420A0000}"/>
    <cellStyle name="Normal 14 2 5 2 2" xfId="2241" xr:uid="{00000000-0005-0000-0000-0000430A0000}"/>
    <cellStyle name="Normal 14 2 5 2 2 2" xfId="5410" xr:uid="{00000000-0005-0000-0000-0000440A0000}"/>
    <cellStyle name="Normal 14 2 5 2 3" xfId="4987" xr:uid="{00000000-0005-0000-0000-0000450A0000}"/>
    <cellStyle name="Normal 14 2 5 3" xfId="2242" xr:uid="{00000000-0005-0000-0000-0000460A0000}"/>
    <cellStyle name="Normal 14 2 5 3 2" xfId="5219" xr:uid="{00000000-0005-0000-0000-0000470A0000}"/>
    <cellStyle name="Normal 14 2 5 4" xfId="4793" xr:uid="{00000000-0005-0000-0000-0000480A0000}"/>
    <cellStyle name="Normal 14 2 6" xfId="2243" xr:uid="{00000000-0005-0000-0000-0000490A0000}"/>
    <cellStyle name="Normal 14 2 6 2" xfId="2244" xr:uid="{00000000-0005-0000-0000-00004A0A0000}"/>
    <cellStyle name="Normal 14 2 6 2 2" xfId="2245" xr:uid="{00000000-0005-0000-0000-00004B0A0000}"/>
    <cellStyle name="Normal 14 2 6 2 2 2" xfId="5411" xr:uid="{00000000-0005-0000-0000-00004C0A0000}"/>
    <cellStyle name="Normal 14 2 6 2 3" xfId="4988" xr:uid="{00000000-0005-0000-0000-00004D0A0000}"/>
    <cellStyle name="Normal 14 2 6 3" xfId="2246" xr:uid="{00000000-0005-0000-0000-00004E0A0000}"/>
    <cellStyle name="Normal 14 2 6 3 2" xfId="5294" xr:uid="{00000000-0005-0000-0000-00004F0A0000}"/>
    <cellStyle name="Normal 14 2 6 4" xfId="4871" xr:uid="{00000000-0005-0000-0000-0000500A0000}"/>
    <cellStyle name="Normal 14 2 7" xfId="2247" xr:uid="{00000000-0005-0000-0000-0000510A0000}"/>
    <cellStyle name="Normal 14 2 7 2" xfId="2248" xr:uid="{00000000-0005-0000-0000-0000520A0000}"/>
    <cellStyle name="Normal 14 2 7 2 2" xfId="2249" xr:uid="{00000000-0005-0000-0000-0000530A0000}"/>
    <cellStyle name="Normal 14 2 7 2 2 2" xfId="5412" xr:uid="{00000000-0005-0000-0000-0000540A0000}"/>
    <cellStyle name="Normal 14 2 7 2 3" xfId="4989" xr:uid="{00000000-0005-0000-0000-0000550A0000}"/>
    <cellStyle name="Normal 14 2 7 3" xfId="2250" xr:uid="{00000000-0005-0000-0000-0000560A0000}"/>
    <cellStyle name="Normal 14 2 7 3 2" xfId="5179" xr:uid="{00000000-0005-0000-0000-0000570A0000}"/>
    <cellStyle name="Normal 14 2 7 4" xfId="4750" xr:uid="{00000000-0005-0000-0000-0000580A0000}"/>
    <cellStyle name="Normal 14 2 8" xfId="2251" xr:uid="{00000000-0005-0000-0000-0000590A0000}"/>
    <cellStyle name="Normal 14 2 8 2" xfId="2252" xr:uid="{00000000-0005-0000-0000-00005A0A0000}"/>
    <cellStyle name="Normal 14 2 8 2 2" xfId="5399" xr:uid="{00000000-0005-0000-0000-00005B0A0000}"/>
    <cellStyle name="Normal 14 2 8 3" xfId="4976" xr:uid="{00000000-0005-0000-0000-00005C0A0000}"/>
    <cellStyle name="Normal 14 2 9" xfId="2253" xr:uid="{00000000-0005-0000-0000-00005D0A0000}"/>
    <cellStyle name="Normal 14 2 9 2" xfId="5156" xr:uid="{00000000-0005-0000-0000-00005E0A0000}"/>
    <cellStyle name="Normal 14 3" xfId="2254" xr:uid="{00000000-0005-0000-0000-00005F0A0000}"/>
    <cellStyle name="Normal 14 3 2" xfId="2255" xr:uid="{00000000-0005-0000-0000-0000600A0000}"/>
    <cellStyle name="Normal 14 3 2 2" xfId="2256" xr:uid="{00000000-0005-0000-0000-0000610A0000}"/>
    <cellStyle name="Normal 14 3 2 2 2" xfId="2257" xr:uid="{00000000-0005-0000-0000-0000620A0000}"/>
    <cellStyle name="Normal 14 3 2 2 2 2" xfId="2258" xr:uid="{00000000-0005-0000-0000-0000630A0000}"/>
    <cellStyle name="Normal 14 3 2 2 2 2 2" xfId="5415" xr:uid="{00000000-0005-0000-0000-0000640A0000}"/>
    <cellStyle name="Normal 14 3 2 2 2 3" xfId="4992" xr:uid="{00000000-0005-0000-0000-0000650A0000}"/>
    <cellStyle name="Normal 14 3 2 2 3" xfId="2259" xr:uid="{00000000-0005-0000-0000-0000660A0000}"/>
    <cellStyle name="Normal 14 3 2 2 3 2" xfId="5237" xr:uid="{00000000-0005-0000-0000-0000670A0000}"/>
    <cellStyle name="Normal 14 3 2 2 4" xfId="4811" xr:uid="{00000000-0005-0000-0000-0000680A0000}"/>
    <cellStyle name="Normal 14 3 2 3" xfId="2260" xr:uid="{00000000-0005-0000-0000-0000690A0000}"/>
    <cellStyle name="Normal 14 3 2 3 2" xfId="2261" xr:uid="{00000000-0005-0000-0000-00006A0A0000}"/>
    <cellStyle name="Normal 14 3 2 3 2 2" xfId="5414" xr:uid="{00000000-0005-0000-0000-00006B0A0000}"/>
    <cellStyle name="Normal 14 3 2 3 3" xfId="4991" xr:uid="{00000000-0005-0000-0000-00006C0A0000}"/>
    <cellStyle name="Normal 14 3 2 4" xfId="2262" xr:uid="{00000000-0005-0000-0000-00006D0A0000}"/>
    <cellStyle name="Normal 14 3 2 4 2" xfId="5197" xr:uid="{00000000-0005-0000-0000-00006E0A0000}"/>
    <cellStyle name="Normal 14 3 2 5" xfId="4768" xr:uid="{00000000-0005-0000-0000-00006F0A0000}"/>
    <cellStyle name="Normal 14 3 3" xfId="2263" xr:uid="{00000000-0005-0000-0000-0000700A0000}"/>
    <cellStyle name="Normal 14 3 3 2" xfId="2264" xr:uid="{00000000-0005-0000-0000-0000710A0000}"/>
    <cellStyle name="Normal 14 3 3 2 2" xfId="2265" xr:uid="{00000000-0005-0000-0000-0000720A0000}"/>
    <cellStyle name="Normal 14 3 3 2 2 2" xfId="5416" xr:uid="{00000000-0005-0000-0000-0000730A0000}"/>
    <cellStyle name="Normal 14 3 3 2 3" xfId="4993" xr:uid="{00000000-0005-0000-0000-0000740A0000}"/>
    <cellStyle name="Normal 14 3 3 3" xfId="2266" xr:uid="{00000000-0005-0000-0000-0000750A0000}"/>
    <cellStyle name="Normal 14 3 3 3 2" xfId="5260" xr:uid="{00000000-0005-0000-0000-0000760A0000}"/>
    <cellStyle name="Normal 14 3 3 4" xfId="4835" xr:uid="{00000000-0005-0000-0000-0000770A0000}"/>
    <cellStyle name="Normal 14 3 4" xfId="2267" xr:uid="{00000000-0005-0000-0000-0000780A0000}"/>
    <cellStyle name="Normal 14 3 4 2" xfId="2268" xr:uid="{00000000-0005-0000-0000-0000790A0000}"/>
    <cellStyle name="Normal 14 3 4 2 2" xfId="2269" xr:uid="{00000000-0005-0000-0000-00007A0A0000}"/>
    <cellStyle name="Normal 14 3 4 2 2 2" xfId="5417" xr:uid="{00000000-0005-0000-0000-00007B0A0000}"/>
    <cellStyle name="Normal 14 3 4 2 3" xfId="4994" xr:uid="{00000000-0005-0000-0000-00007C0A0000}"/>
    <cellStyle name="Normal 14 3 4 3" xfId="2270" xr:uid="{00000000-0005-0000-0000-00007D0A0000}"/>
    <cellStyle name="Normal 14 3 4 3 2" xfId="5221" xr:uid="{00000000-0005-0000-0000-00007E0A0000}"/>
    <cellStyle name="Normal 14 3 4 4" xfId="4795" xr:uid="{00000000-0005-0000-0000-00007F0A0000}"/>
    <cellStyle name="Normal 14 3 5" xfId="2271" xr:uid="{00000000-0005-0000-0000-0000800A0000}"/>
    <cellStyle name="Normal 14 3 5 2" xfId="2272" xr:uid="{00000000-0005-0000-0000-0000810A0000}"/>
    <cellStyle name="Normal 14 3 5 2 2" xfId="2273" xr:uid="{00000000-0005-0000-0000-0000820A0000}"/>
    <cellStyle name="Normal 14 3 5 2 2 2" xfId="5418" xr:uid="{00000000-0005-0000-0000-0000830A0000}"/>
    <cellStyle name="Normal 14 3 5 2 3" xfId="4995" xr:uid="{00000000-0005-0000-0000-0000840A0000}"/>
    <cellStyle name="Normal 14 3 5 3" xfId="2274" xr:uid="{00000000-0005-0000-0000-0000850A0000}"/>
    <cellStyle name="Normal 14 3 5 3 2" xfId="5296" xr:uid="{00000000-0005-0000-0000-0000860A0000}"/>
    <cellStyle name="Normal 14 3 5 4" xfId="4873" xr:uid="{00000000-0005-0000-0000-0000870A0000}"/>
    <cellStyle name="Normal 14 3 6" xfId="2275" xr:uid="{00000000-0005-0000-0000-0000880A0000}"/>
    <cellStyle name="Normal 14 3 6 2" xfId="2276" xr:uid="{00000000-0005-0000-0000-0000890A0000}"/>
    <cellStyle name="Normal 14 3 6 2 2" xfId="2277" xr:uid="{00000000-0005-0000-0000-00008A0A0000}"/>
    <cellStyle name="Normal 14 3 6 2 2 2" xfId="5419" xr:uid="{00000000-0005-0000-0000-00008B0A0000}"/>
    <cellStyle name="Normal 14 3 6 2 3" xfId="4996" xr:uid="{00000000-0005-0000-0000-00008C0A0000}"/>
    <cellStyle name="Normal 14 3 6 3" xfId="2278" xr:uid="{00000000-0005-0000-0000-00008D0A0000}"/>
    <cellStyle name="Normal 14 3 6 3 2" xfId="5181" xr:uid="{00000000-0005-0000-0000-00008E0A0000}"/>
    <cellStyle name="Normal 14 3 6 4" xfId="4752" xr:uid="{00000000-0005-0000-0000-00008F0A0000}"/>
    <cellStyle name="Normal 14 3 7" xfId="2279" xr:uid="{00000000-0005-0000-0000-0000900A0000}"/>
    <cellStyle name="Normal 14 3 7 2" xfId="2280" xr:uid="{00000000-0005-0000-0000-0000910A0000}"/>
    <cellStyle name="Normal 14 3 7 2 2" xfId="5413" xr:uid="{00000000-0005-0000-0000-0000920A0000}"/>
    <cellStyle name="Normal 14 3 7 3" xfId="4990" xr:uid="{00000000-0005-0000-0000-0000930A0000}"/>
    <cellStyle name="Normal 14 3 8" xfId="2281" xr:uid="{00000000-0005-0000-0000-0000940A0000}"/>
    <cellStyle name="Normal 14 3 8 2" xfId="5158" xr:uid="{00000000-0005-0000-0000-0000950A0000}"/>
    <cellStyle name="Normal 14 3 9" xfId="4716" xr:uid="{00000000-0005-0000-0000-0000960A0000}"/>
    <cellStyle name="Normal 14 4" xfId="2282" xr:uid="{00000000-0005-0000-0000-0000970A0000}"/>
    <cellStyle name="Normal 14 4 2" xfId="2283" xr:uid="{00000000-0005-0000-0000-0000980A0000}"/>
    <cellStyle name="Normal 14 4 2 2" xfId="2284" xr:uid="{00000000-0005-0000-0000-0000990A0000}"/>
    <cellStyle name="Normal 14 4 2 2 2" xfId="5420" xr:uid="{00000000-0005-0000-0000-00009A0A0000}"/>
    <cellStyle name="Normal 14 4 2 3" xfId="4997" xr:uid="{00000000-0005-0000-0000-00009B0A0000}"/>
    <cellStyle name="Normal 14 4 3" xfId="2285" xr:uid="{00000000-0005-0000-0000-00009C0A0000}"/>
    <cellStyle name="Normal 14 4 3 2" xfId="5257" xr:uid="{00000000-0005-0000-0000-00009D0A0000}"/>
    <cellStyle name="Normal 14 4 4" xfId="4832" xr:uid="{00000000-0005-0000-0000-00009E0A0000}"/>
    <cellStyle name="Normal 14 5" xfId="2286" xr:uid="{00000000-0005-0000-0000-00009F0A0000}"/>
    <cellStyle name="Normal 14 5 2" xfId="2287" xr:uid="{00000000-0005-0000-0000-0000A00A0000}"/>
    <cellStyle name="Normal 14 5 2 2" xfId="2288" xr:uid="{00000000-0005-0000-0000-0000A10A0000}"/>
    <cellStyle name="Normal 14 5 2 2 2" xfId="5421" xr:uid="{00000000-0005-0000-0000-0000A20A0000}"/>
    <cellStyle name="Normal 14 5 2 3" xfId="4998" xr:uid="{00000000-0005-0000-0000-0000A30A0000}"/>
    <cellStyle name="Normal 14 5 3" xfId="2289" xr:uid="{00000000-0005-0000-0000-0000A40A0000}"/>
    <cellStyle name="Normal 14 5 3 2" xfId="5293" xr:uid="{00000000-0005-0000-0000-0000A50A0000}"/>
    <cellStyle name="Normal 14 5 4" xfId="4870" xr:uid="{00000000-0005-0000-0000-0000A60A0000}"/>
    <cellStyle name="Normal 14 6" xfId="2290" xr:uid="{00000000-0005-0000-0000-0000A70A0000}"/>
    <cellStyle name="Normal 14 6 2" xfId="2291" xr:uid="{00000000-0005-0000-0000-0000A80A0000}"/>
    <cellStyle name="Normal 14 7" xfId="2292" xr:uid="{00000000-0005-0000-0000-0000A90A0000}"/>
    <cellStyle name="Normal 14 7 2" xfId="2293" xr:uid="{00000000-0005-0000-0000-0000AA0A0000}"/>
    <cellStyle name="Normal 14 7 2 2" xfId="5398" xr:uid="{00000000-0005-0000-0000-0000AB0A0000}"/>
    <cellStyle name="Normal 14 7 3" xfId="4975" xr:uid="{00000000-0005-0000-0000-0000AC0A0000}"/>
    <cellStyle name="Normal 14 8" xfId="2294" xr:uid="{00000000-0005-0000-0000-0000AD0A0000}"/>
    <cellStyle name="Normal 14 9" xfId="2295" xr:uid="{00000000-0005-0000-0000-0000AE0A0000}"/>
    <cellStyle name="Normal 14 9 2" xfId="5155" xr:uid="{00000000-0005-0000-0000-0000AF0A0000}"/>
    <cellStyle name="Normal 140" xfId="2296" xr:uid="{00000000-0005-0000-0000-0000B00A0000}"/>
    <cellStyle name="Normal 140 2" xfId="2297" xr:uid="{00000000-0005-0000-0000-0000B10A0000}"/>
    <cellStyle name="Normal 140 2 2" xfId="3992" xr:uid="{00000000-0005-0000-0000-0000B20A0000}"/>
    <cellStyle name="Normal 140 3" xfId="3991" xr:uid="{00000000-0005-0000-0000-0000B30A0000}"/>
    <cellStyle name="Normal 141" xfId="2298" xr:uid="{00000000-0005-0000-0000-0000B40A0000}"/>
    <cellStyle name="Normal 141 2" xfId="2299" xr:uid="{00000000-0005-0000-0000-0000B50A0000}"/>
    <cellStyle name="Normal 141 2 2" xfId="3994" xr:uid="{00000000-0005-0000-0000-0000B60A0000}"/>
    <cellStyle name="Normal 141 3" xfId="3993" xr:uid="{00000000-0005-0000-0000-0000B70A0000}"/>
    <cellStyle name="Normal 142" xfId="2300" xr:uid="{00000000-0005-0000-0000-0000B80A0000}"/>
    <cellStyle name="Normal 142 2" xfId="2301" xr:uid="{00000000-0005-0000-0000-0000B90A0000}"/>
    <cellStyle name="Normal 142 2 2" xfId="3996" xr:uid="{00000000-0005-0000-0000-0000BA0A0000}"/>
    <cellStyle name="Normal 142 3" xfId="3995" xr:uid="{00000000-0005-0000-0000-0000BB0A0000}"/>
    <cellStyle name="Normal 143" xfId="2302" xr:uid="{00000000-0005-0000-0000-0000BC0A0000}"/>
    <cellStyle name="Normal 143 2" xfId="2303" xr:uid="{00000000-0005-0000-0000-0000BD0A0000}"/>
    <cellStyle name="Normal 143 2 2" xfId="3998" xr:uid="{00000000-0005-0000-0000-0000BE0A0000}"/>
    <cellStyle name="Normal 143 3" xfId="3997" xr:uid="{00000000-0005-0000-0000-0000BF0A0000}"/>
    <cellStyle name="Normal 144" xfId="2304" xr:uid="{00000000-0005-0000-0000-0000C00A0000}"/>
    <cellStyle name="Normal 144 2" xfId="3999" xr:uid="{00000000-0005-0000-0000-0000C10A0000}"/>
    <cellStyle name="Normal 145" xfId="2305" xr:uid="{00000000-0005-0000-0000-0000C20A0000}"/>
    <cellStyle name="Normal 145 2" xfId="4000" xr:uid="{00000000-0005-0000-0000-0000C30A0000}"/>
    <cellStyle name="Normal 146" xfId="2306" xr:uid="{00000000-0005-0000-0000-0000C40A0000}"/>
    <cellStyle name="Normal 146 2" xfId="4001" xr:uid="{00000000-0005-0000-0000-0000C50A0000}"/>
    <cellStyle name="Normal 147" xfId="2307" xr:uid="{00000000-0005-0000-0000-0000C60A0000}"/>
    <cellStyle name="Normal 147 2" xfId="4002" xr:uid="{00000000-0005-0000-0000-0000C70A0000}"/>
    <cellStyle name="Normal 148" xfId="2308" xr:uid="{00000000-0005-0000-0000-0000C80A0000}"/>
    <cellStyle name="Normal 148 2" xfId="4003" xr:uid="{00000000-0005-0000-0000-0000C90A0000}"/>
    <cellStyle name="Normal 149" xfId="2309" xr:uid="{00000000-0005-0000-0000-0000CA0A0000}"/>
    <cellStyle name="Normal 149 2" xfId="4004" xr:uid="{00000000-0005-0000-0000-0000CB0A0000}"/>
    <cellStyle name="Normal 15" xfId="301" xr:uid="{00000000-0005-0000-0000-0000CC0A0000}"/>
    <cellStyle name="Normal 15 2" xfId="2310" xr:uid="{00000000-0005-0000-0000-0000CD0A0000}"/>
    <cellStyle name="Normal 15 2 2" xfId="4005" xr:uid="{00000000-0005-0000-0000-0000CE0A0000}"/>
    <cellStyle name="Normal 15 3" xfId="2311" xr:uid="{00000000-0005-0000-0000-0000CF0A0000}"/>
    <cellStyle name="Normal 15 3 2" xfId="2312" xr:uid="{00000000-0005-0000-0000-0000D00A0000}"/>
    <cellStyle name="Normal 15 4" xfId="2313" xr:uid="{00000000-0005-0000-0000-0000D10A0000}"/>
    <cellStyle name="Normal 150" xfId="2314" xr:uid="{00000000-0005-0000-0000-0000D20A0000}"/>
    <cellStyle name="Normal 150 2" xfId="4006" xr:uid="{00000000-0005-0000-0000-0000D30A0000}"/>
    <cellStyle name="Normal 151" xfId="2315" xr:uid="{00000000-0005-0000-0000-0000D40A0000}"/>
    <cellStyle name="Normal 151 2" xfId="4007" xr:uid="{00000000-0005-0000-0000-0000D50A0000}"/>
    <cellStyle name="Normal 152" xfId="2316" xr:uid="{00000000-0005-0000-0000-0000D60A0000}"/>
    <cellStyle name="Normal 152 2" xfId="4008" xr:uid="{00000000-0005-0000-0000-0000D70A0000}"/>
    <cellStyle name="Normal 153" xfId="2317" xr:uid="{00000000-0005-0000-0000-0000D80A0000}"/>
    <cellStyle name="Normal 153 2" xfId="4009" xr:uid="{00000000-0005-0000-0000-0000D90A0000}"/>
    <cellStyle name="Normal 154" xfId="2318" xr:uid="{00000000-0005-0000-0000-0000DA0A0000}"/>
    <cellStyle name="Normal 154 2" xfId="4010" xr:uid="{00000000-0005-0000-0000-0000DB0A0000}"/>
    <cellStyle name="Normal 155" xfId="2319" xr:uid="{00000000-0005-0000-0000-0000DC0A0000}"/>
    <cellStyle name="Normal 155 2" xfId="4011" xr:uid="{00000000-0005-0000-0000-0000DD0A0000}"/>
    <cellStyle name="Normal 156" xfId="2320" xr:uid="{00000000-0005-0000-0000-0000DE0A0000}"/>
    <cellStyle name="Normal 156 2" xfId="4012" xr:uid="{00000000-0005-0000-0000-0000DF0A0000}"/>
    <cellStyle name="Normal 157" xfId="2321" xr:uid="{00000000-0005-0000-0000-0000E00A0000}"/>
    <cellStyle name="Normal 157 2" xfId="4013" xr:uid="{00000000-0005-0000-0000-0000E10A0000}"/>
    <cellStyle name="Normal 158" xfId="2322" xr:uid="{00000000-0005-0000-0000-0000E20A0000}"/>
    <cellStyle name="Normal 158 2" xfId="4014" xr:uid="{00000000-0005-0000-0000-0000E30A0000}"/>
    <cellStyle name="Normal 159" xfId="2323" xr:uid="{00000000-0005-0000-0000-0000E40A0000}"/>
    <cellStyle name="Normal 159 2" xfId="4015" xr:uid="{00000000-0005-0000-0000-0000E50A0000}"/>
    <cellStyle name="Normal 16" xfId="302" xr:uid="{00000000-0005-0000-0000-0000E60A0000}"/>
    <cellStyle name="Normal 16 2" xfId="446" xr:uid="{00000000-0005-0000-0000-0000E70A0000}"/>
    <cellStyle name="Normal 16 2 2" xfId="527" xr:uid="{00000000-0005-0000-0000-0000E80A0000}"/>
    <cellStyle name="Normal 16 2 2 2" xfId="781" xr:uid="{00000000-0005-0000-0000-0000E90A0000}"/>
    <cellStyle name="Normal 16 2 3" xfId="700" xr:uid="{00000000-0005-0000-0000-0000EA0A0000}"/>
    <cellStyle name="Normal 16 2 4" xfId="4016" xr:uid="{00000000-0005-0000-0000-0000EB0A0000}"/>
    <cellStyle name="Normal 16 3" xfId="526" xr:uid="{00000000-0005-0000-0000-0000EC0A0000}"/>
    <cellStyle name="Normal 16 3 2" xfId="780" xr:uid="{00000000-0005-0000-0000-0000ED0A0000}"/>
    <cellStyle name="Normal 16 3 2 2" xfId="5101" xr:uid="{00000000-0005-0000-0000-0000EE0A0000}"/>
    <cellStyle name="Normal 16 3 3" xfId="4735" xr:uid="{00000000-0005-0000-0000-0000EF0A0000}"/>
    <cellStyle name="Normal 16 4" xfId="638" xr:uid="{00000000-0005-0000-0000-0000F00A0000}"/>
    <cellStyle name="Normal 16 5" xfId="3700" xr:uid="{00000000-0005-0000-0000-0000F10A0000}"/>
    <cellStyle name="Normal 160" xfId="2324" xr:uid="{00000000-0005-0000-0000-0000F20A0000}"/>
    <cellStyle name="Normal 160 2" xfId="4017" xr:uid="{00000000-0005-0000-0000-0000F30A0000}"/>
    <cellStyle name="Normal 161" xfId="2325" xr:uid="{00000000-0005-0000-0000-0000F40A0000}"/>
    <cellStyle name="Normal 161 2" xfId="4018" xr:uid="{00000000-0005-0000-0000-0000F50A0000}"/>
    <cellStyle name="Normal 162" xfId="2326" xr:uid="{00000000-0005-0000-0000-0000F60A0000}"/>
    <cellStyle name="Normal 162 2" xfId="4019" xr:uid="{00000000-0005-0000-0000-0000F70A0000}"/>
    <cellStyle name="Normal 163" xfId="2327" xr:uid="{00000000-0005-0000-0000-0000F80A0000}"/>
    <cellStyle name="Normal 163 2" xfId="4020" xr:uid="{00000000-0005-0000-0000-0000F90A0000}"/>
    <cellStyle name="Normal 164" xfId="2328" xr:uid="{00000000-0005-0000-0000-0000FA0A0000}"/>
    <cellStyle name="Normal 164 2" xfId="4021" xr:uid="{00000000-0005-0000-0000-0000FB0A0000}"/>
    <cellStyle name="Normal 165" xfId="2329" xr:uid="{00000000-0005-0000-0000-0000FC0A0000}"/>
    <cellStyle name="Normal 165 2" xfId="4022" xr:uid="{00000000-0005-0000-0000-0000FD0A0000}"/>
    <cellStyle name="Normal 166" xfId="2330" xr:uid="{00000000-0005-0000-0000-0000FE0A0000}"/>
    <cellStyle name="Normal 166 2" xfId="4023" xr:uid="{00000000-0005-0000-0000-0000FF0A0000}"/>
    <cellStyle name="Normal 167" xfId="2331" xr:uid="{00000000-0005-0000-0000-0000000B0000}"/>
    <cellStyle name="Normal 167 2" xfId="4024" xr:uid="{00000000-0005-0000-0000-0000010B0000}"/>
    <cellStyle name="Normal 168" xfId="2332" xr:uid="{00000000-0005-0000-0000-0000020B0000}"/>
    <cellStyle name="Normal 168 2" xfId="2333" xr:uid="{00000000-0005-0000-0000-0000030B0000}"/>
    <cellStyle name="Normal 168 2 2" xfId="4026" xr:uid="{00000000-0005-0000-0000-0000040B0000}"/>
    <cellStyle name="Normal 168 3" xfId="4025" xr:uid="{00000000-0005-0000-0000-0000050B0000}"/>
    <cellStyle name="Normal 169" xfId="2334" xr:uid="{00000000-0005-0000-0000-0000060B0000}"/>
    <cellStyle name="Normal 169 2" xfId="2335" xr:uid="{00000000-0005-0000-0000-0000070B0000}"/>
    <cellStyle name="Normal 169 2 2" xfId="4028" xr:uid="{00000000-0005-0000-0000-0000080B0000}"/>
    <cellStyle name="Normal 169 3" xfId="4027" xr:uid="{00000000-0005-0000-0000-0000090B0000}"/>
    <cellStyle name="Normal 17" xfId="303" xr:uid="{00000000-0005-0000-0000-00000A0B0000}"/>
    <cellStyle name="Normal 17 2" xfId="2336" xr:uid="{00000000-0005-0000-0000-00000B0B0000}"/>
    <cellStyle name="Normal 17 3" xfId="2337" xr:uid="{00000000-0005-0000-0000-00000C0B0000}"/>
    <cellStyle name="Normal 17 4" xfId="2338" xr:uid="{00000000-0005-0000-0000-00000D0B0000}"/>
    <cellStyle name="Normal 170" xfId="2339" xr:uid="{00000000-0005-0000-0000-00000E0B0000}"/>
    <cellStyle name="Normal 170 2" xfId="2340" xr:uid="{00000000-0005-0000-0000-00000F0B0000}"/>
    <cellStyle name="Normal 170 2 2" xfId="4030" xr:uid="{00000000-0005-0000-0000-0000100B0000}"/>
    <cellStyle name="Normal 170 3" xfId="4029" xr:uid="{00000000-0005-0000-0000-0000110B0000}"/>
    <cellStyle name="Normal 171" xfId="2341" xr:uid="{00000000-0005-0000-0000-0000120B0000}"/>
    <cellStyle name="Normal 171 2" xfId="2342" xr:uid="{00000000-0005-0000-0000-0000130B0000}"/>
    <cellStyle name="Normal 171 2 2" xfId="4032" xr:uid="{00000000-0005-0000-0000-0000140B0000}"/>
    <cellStyle name="Normal 171 3" xfId="4031" xr:uid="{00000000-0005-0000-0000-0000150B0000}"/>
    <cellStyle name="Normal 172" xfId="2343" xr:uid="{00000000-0005-0000-0000-0000160B0000}"/>
    <cellStyle name="Normal 172 2" xfId="4033" xr:uid="{00000000-0005-0000-0000-0000170B0000}"/>
    <cellStyle name="Normal 173" xfId="2344" xr:uid="{00000000-0005-0000-0000-0000180B0000}"/>
    <cellStyle name="Normal 173 2" xfId="4034" xr:uid="{00000000-0005-0000-0000-0000190B0000}"/>
    <cellStyle name="Normal 174" xfId="2345" xr:uid="{00000000-0005-0000-0000-00001A0B0000}"/>
    <cellStyle name="Normal 174 2" xfId="4035" xr:uid="{00000000-0005-0000-0000-00001B0B0000}"/>
    <cellStyle name="Normal 175" xfId="2346" xr:uid="{00000000-0005-0000-0000-00001C0B0000}"/>
    <cellStyle name="Normal 175 2" xfId="4036" xr:uid="{00000000-0005-0000-0000-00001D0B0000}"/>
    <cellStyle name="Normal 176" xfId="2347" xr:uid="{00000000-0005-0000-0000-00001E0B0000}"/>
    <cellStyle name="Normal 176 2" xfId="4037" xr:uid="{00000000-0005-0000-0000-00001F0B0000}"/>
    <cellStyle name="Normal 177" xfId="2348" xr:uid="{00000000-0005-0000-0000-0000200B0000}"/>
    <cellStyle name="Normal 177 2" xfId="4038" xr:uid="{00000000-0005-0000-0000-0000210B0000}"/>
    <cellStyle name="Normal 178" xfId="2349" xr:uid="{00000000-0005-0000-0000-0000220B0000}"/>
    <cellStyle name="Normal 178 2" xfId="4039" xr:uid="{00000000-0005-0000-0000-0000230B0000}"/>
    <cellStyle name="Normal 179" xfId="2350" xr:uid="{00000000-0005-0000-0000-0000240B0000}"/>
    <cellStyle name="Normal 179 2" xfId="4040" xr:uid="{00000000-0005-0000-0000-0000250B0000}"/>
    <cellStyle name="Normal 18" xfId="390" xr:uid="{00000000-0005-0000-0000-0000260B0000}"/>
    <cellStyle name="Normal 18 2" xfId="484" xr:uid="{00000000-0005-0000-0000-0000270B0000}"/>
    <cellStyle name="Normal 18 2 2" xfId="529" xr:uid="{00000000-0005-0000-0000-0000280B0000}"/>
    <cellStyle name="Normal 18 2 2 2" xfId="783" xr:uid="{00000000-0005-0000-0000-0000290B0000}"/>
    <cellStyle name="Normal 18 2 2 3" xfId="5098" xr:uid="{00000000-0005-0000-0000-00002A0B0000}"/>
    <cellStyle name="Normal 18 2 3" xfId="738" xr:uid="{00000000-0005-0000-0000-00002B0B0000}"/>
    <cellStyle name="Normal 18 2 4" xfId="3702" xr:uid="{00000000-0005-0000-0000-00002C0B0000}"/>
    <cellStyle name="Normal 18 2 5" xfId="4769" xr:uid="{00000000-0005-0000-0000-00002D0B0000}"/>
    <cellStyle name="Normal 18 3" xfId="528" xr:uid="{00000000-0005-0000-0000-00002E0B0000}"/>
    <cellStyle name="Normal 18 3 2" xfId="782" xr:uid="{00000000-0005-0000-0000-00002F0B0000}"/>
    <cellStyle name="Normal 18 3 2 2" xfId="3808" xr:uid="{00000000-0005-0000-0000-0000300B0000}"/>
    <cellStyle name="Normal 18 3 3" xfId="2351" xr:uid="{00000000-0005-0000-0000-0000310B0000}"/>
    <cellStyle name="Normal 18 3 3 2" xfId="3809" xr:uid="{00000000-0005-0000-0000-0000320B0000}"/>
    <cellStyle name="Normal 18 3 3 3" xfId="5107" xr:uid="{00000000-0005-0000-0000-0000330B0000}"/>
    <cellStyle name="Normal 18 3 4" xfId="2352" xr:uid="{00000000-0005-0000-0000-0000340B0000}"/>
    <cellStyle name="Normal 18 3 5" xfId="4836" xr:uid="{00000000-0005-0000-0000-0000350B0000}"/>
    <cellStyle name="Normal 18 4" xfId="679" xr:uid="{00000000-0005-0000-0000-0000360B0000}"/>
    <cellStyle name="Normal 18 4 2" xfId="3703" xr:uid="{00000000-0005-0000-0000-0000370B0000}"/>
    <cellStyle name="Normal 18 4 3" xfId="4738" xr:uid="{00000000-0005-0000-0000-0000380B0000}"/>
    <cellStyle name="Normal 18 5" xfId="2353" xr:uid="{00000000-0005-0000-0000-0000390B0000}"/>
    <cellStyle name="Normal 18 6" xfId="3701" xr:uid="{00000000-0005-0000-0000-00003A0B0000}"/>
    <cellStyle name="Normal 18 7" xfId="4717" xr:uid="{00000000-0005-0000-0000-00003B0B0000}"/>
    <cellStyle name="Normal 180" xfId="2354" xr:uid="{00000000-0005-0000-0000-00003C0B0000}"/>
    <cellStyle name="Normal 180 2" xfId="4041" xr:uid="{00000000-0005-0000-0000-00003D0B0000}"/>
    <cellStyle name="Normal 181" xfId="2355" xr:uid="{00000000-0005-0000-0000-00003E0B0000}"/>
    <cellStyle name="Normal 181 2" xfId="4042" xr:uid="{00000000-0005-0000-0000-00003F0B0000}"/>
    <cellStyle name="Normal 182" xfId="2356" xr:uid="{00000000-0005-0000-0000-0000400B0000}"/>
    <cellStyle name="Normal 182 2" xfId="2357" xr:uid="{00000000-0005-0000-0000-0000410B0000}"/>
    <cellStyle name="Normal 182 3" xfId="2358" xr:uid="{00000000-0005-0000-0000-0000420B0000}"/>
    <cellStyle name="Normal 182 3 2" xfId="3810" xr:uid="{00000000-0005-0000-0000-0000430B0000}"/>
    <cellStyle name="Normal 182 3 3" xfId="5122" xr:uid="{00000000-0005-0000-0000-0000440B0000}"/>
    <cellStyle name="Normal 183" xfId="2359" xr:uid="{00000000-0005-0000-0000-0000450B0000}"/>
    <cellStyle name="Normal 183 2" xfId="2360" xr:uid="{00000000-0005-0000-0000-0000460B0000}"/>
    <cellStyle name="Normal 183 3" xfId="2361" xr:uid="{00000000-0005-0000-0000-0000470B0000}"/>
    <cellStyle name="Normal 183 3 2" xfId="3811" xr:uid="{00000000-0005-0000-0000-0000480B0000}"/>
    <cellStyle name="Normal 183 3 3" xfId="5083" xr:uid="{00000000-0005-0000-0000-0000490B0000}"/>
    <cellStyle name="Normal 184" xfId="2362" xr:uid="{00000000-0005-0000-0000-00004A0B0000}"/>
    <cellStyle name="Normal 184 2" xfId="2363" xr:uid="{00000000-0005-0000-0000-00004B0B0000}"/>
    <cellStyle name="Normal 184 3" xfId="2364" xr:uid="{00000000-0005-0000-0000-00004C0B0000}"/>
    <cellStyle name="Normal 184 3 2" xfId="3812" xr:uid="{00000000-0005-0000-0000-00004D0B0000}"/>
    <cellStyle name="Normal 184 3 3" xfId="5082" xr:uid="{00000000-0005-0000-0000-00004E0B0000}"/>
    <cellStyle name="Normal 185" xfId="2365" xr:uid="{00000000-0005-0000-0000-00004F0B0000}"/>
    <cellStyle name="Normal 185 2" xfId="2366" xr:uid="{00000000-0005-0000-0000-0000500B0000}"/>
    <cellStyle name="Normal 185 2 2" xfId="2367" xr:uid="{00000000-0005-0000-0000-0000510B0000}"/>
    <cellStyle name="Normal 185 2 3" xfId="2368" xr:uid="{00000000-0005-0000-0000-0000520B0000}"/>
    <cellStyle name="Normal 185 2 3 2" xfId="3813" xr:uid="{00000000-0005-0000-0000-0000530B0000}"/>
    <cellStyle name="Normal 185 2 3 3" xfId="5126" xr:uid="{00000000-0005-0000-0000-0000540B0000}"/>
    <cellStyle name="Normal 185 3" xfId="2369" xr:uid="{00000000-0005-0000-0000-0000550B0000}"/>
    <cellStyle name="Normal 185 3 2" xfId="4044" xr:uid="{00000000-0005-0000-0000-0000560B0000}"/>
    <cellStyle name="Normal 185 4" xfId="4043" xr:uid="{00000000-0005-0000-0000-0000570B0000}"/>
    <cellStyle name="Normal 186" xfId="2370" xr:uid="{00000000-0005-0000-0000-0000580B0000}"/>
    <cellStyle name="Normal 186 2" xfId="4045" xr:uid="{00000000-0005-0000-0000-0000590B0000}"/>
    <cellStyle name="Normal 187" xfId="2371" xr:uid="{00000000-0005-0000-0000-00005A0B0000}"/>
    <cellStyle name="Normal 187 2" xfId="4046" xr:uid="{00000000-0005-0000-0000-00005B0B0000}"/>
    <cellStyle name="Normal 188" xfId="2372" xr:uid="{00000000-0005-0000-0000-00005C0B0000}"/>
    <cellStyle name="Normal 188 2" xfId="4047" xr:uid="{00000000-0005-0000-0000-00005D0B0000}"/>
    <cellStyle name="Normal 189" xfId="2373" xr:uid="{00000000-0005-0000-0000-00005E0B0000}"/>
    <cellStyle name="Normal 189 2" xfId="4048" xr:uid="{00000000-0005-0000-0000-00005F0B0000}"/>
    <cellStyle name="Normal 19" xfId="486" xr:uid="{00000000-0005-0000-0000-0000600B0000}"/>
    <cellStyle name="Normal 19 2" xfId="740" xr:uid="{00000000-0005-0000-0000-0000610B0000}"/>
    <cellStyle name="Normal 19 2 2" xfId="4049" xr:uid="{00000000-0005-0000-0000-0000620B0000}"/>
    <cellStyle name="Normal 19 3" xfId="2374" xr:uid="{00000000-0005-0000-0000-0000630B0000}"/>
    <cellStyle name="Normal 19 3 2" xfId="2375" xr:uid="{00000000-0005-0000-0000-0000640B0000}"/>
    <cellStyle name="Normal 19 3 2 2" xfId="2376" xr:uid="{00000000-0005-0000-0000-0000650B0000}"/>
    <cellStyle name="Normal 19 3 2 2 2" xfId="5423" xr:uid="{00000000-0005-0000-0000-0000660B0000}"/>
    <cellStyle name="Normal 19 3 2 3" xfId="5000" xr:uid="{00000000-0005-0000-0000-0000670B0000}"/>
    <cellStyle name="Normal 19 3 3" xfId="2377" xr:uid="{00000000-0005-0000-0000-0000680B0000}"/>
    <cellStyle name="Normal 19 3 3 2" xfId="5261" xr:uid="{00000000-0005-0000-0000-0000690B0000}"/>
    <cellStyle name="Normal 19 3 4" xfId="4837" xr:uid="{00000000-0005-0000-0000-00006A0B0000}"/>
    <cellStyle name="Normal 19 4" xfId="2378" xr:uid="{00000000-0005-0000-0000-00006B0B0000}"/>
    <cellStyle name="Normal 19 4 2" xfId="2379" xr:uid="{00000000-0005-0000-0000-00006C0B0000}"/>
    <cellStyle name="Normal 19 4 2 2" xfId="2380" xr:uid="{00000000-0005-0000-0000-00006D0B0000}"/>
    <cellStyle name="Normal 19 4 2 2 2" xfId="5424" xr:uid="{00000000-0005-0000-0000-00006E0B0000}"/>
    <cellStyle name="Normal 19 4 2 3" xfId="5001" xr:uid="{00000000-0005-0000-0000-00006F0B0000}"/>
    <cellStyle name="Normal 19 4 3" xfId="2381" xr:uid="{00000000-0005-0000-0000-0000700B0000}"/>
    <cellStyle name="Normal 19 4 3 2" xfId="5297" xr:uid="{00000000-0005-0000-0000-0000710B0000}"/>
    <cellStyle name="Normal 19 4 4" xfId="4874" xr:uid="{00000000-0005-0000-0000-0000720B0000}"/>
    <cellStyle name="Normal 19 5" xfId="2382" xr:uid="{00000000-0005-0000-0000-0000730B0000}"/>
    <cellStyle name="Normal 19 6" xfId="2383" xr:uid="{00000000-0005-0000-0000-0000740B0000}"/>
    <cellStyle name="Normal 19 6 2" xfId="2384" xr:uid="{00000000-0005-0000-0000-0000750B0000}"/>
    <cellStyle name="Normal 19 6 2 2" xfId="5422" xr:uid="{00000000-0005-0000-0000-0000760B0000}"/>
    <cellStyle name="Normal 19 6 3" xfId="4999" xr:uid="{00000000-0005-0000-0000-0000770B0000}"/>
    <cellStyle name="Normal 19 7" xfId="2385" xr:uid="{00000000-0005-0000-0000-0000780B0000}"/>
    <cellStyle name="Normal 19 7 2" xfId="5159" xr:uid="{00000000-0005-0000-0000-0000790B0000}"/>
    <cellStyle name="Normal 19 8" xfId="4718" xr:uid="{00000000-0005-0000-0000-00007A0B0000}"/>
    <cellStyle name="Normal 190" xfId="2386" xr:uid="{00000000-0005-0000-0000-00007B0B0000}"/>
    <cellStyle name="Normal 190 2" xfId="4050" xr:uid="{00000000-0005-0000-0000-00007C0B0000}"/>
    <cellStyle name="Normal 191" xfId="2387" xr:uid="{00000000-0005-0000-0000-00007D0B0000}"/>
    <cellStyle name="Normal 191 2" xfId="4051" xr:uid="{00000000-0005-0000-0000-00007E0B0000}"/>
    <cellStyle name="Normal 192" xfId="2388" xr:uid="{00000000-0005-0000-0000-00007F0B0000}"/>
    <cellStyle name="Normal 192 2" xfId="4052" xr:uid="{00000000-0005-0000-0000-0000800B0000}"/>
    <cellStyle name="Normal 193" xfId="2389" xr:uid="{00000000-0005-0000-0000-0000810B0000}"/>
    <cellStyle name="Normal 193 2" xfId="4053" xr:uid="{00000000-0005-0000-0000-0000820B0000}"/>
    <cellStyle name="Normal 194" xfId="2390" xr:uid="{00000000-0005-0000-0000-0000830B0000}"/>
    <cellStyle name="Normal 194 2" xfId="4054" xr:uid="{00000000-0005-0000-0000-0000840B0000}"/>
    <cellStyle name="Normal 195" xfId="2391" xr:uid="{00000000-0005-0000-0000-0000850B0000}"/>
    <cellStyle name="Normal 195 2" xfId="4055" xr:uid="{00000000-0005-0000-0000-0000860B0000}"/>
    <cellStyle name="Normal 196" xfId="2392" xr:uid="{00000000-0005-0000-0000-0000870B0000}"/>
    <cellStyle name="Normal 196 2" xfId="4056" xr:uid="{00000000-0005-0000-0000-0000880B0000}"/>
    <cellStyle name="Normal 197" xfId="2393" xr:uid="{00000000-0005-0000-0000-0000890B0000}"/>
    <cellStyle name="Normal 197 2" xfId="4057" xr:uid="{00000000-0005-0000-0000-00008A0B0000}"/>
    <cellStyle name="Normal 198" xfId="2394" xr:uid="{00000000-0005-0000-0000-00008B0B0000}"/>
    <cellStyle name="Normal 198 2" xfId="4058" xr:uid="{00000000-0005-0000-0000-00008C0B0000}"/>
    <cellStyle name="Normal 199" xfId="2395" xr:uid="{00000000-0005-0000-0000-00008D0B0000}"/>
    <cellStyle name="Normal 199 2" xfId="2396" xr:uid="{00000000-0005-0000-0000-00008E0B0000}"/>
    <cellStyle name="Normal 199 3" xfId="2397" xr:uid="{00000000-0005-0000-0000-00008F0B0000}"/>
    <cellStyle name="Normal 199 3 2" xfId="3816" xr:uid="{00000000-0005-0000-0000-0000900B0000}"/>
    <cellStyle name="Normal 199 3 3" xfId="5073" xr:uid="{00000000-0005-0000-0000-0000910B0000}"/>
    <cellStyle name="Normal 2" xfId="10" xr:uid="{00000000-0005-0000-0000-0000920B0000}"/>
    <cellStyle name="Normal 2 10" xfId="5609" xr:uid="{00000000-0005-0000-0000-0000930B0000}"/>
    <cellStyle name="Normal 2 2" xfId="68" xr:uid="{00000000-0005-0000-0000-0000940B0000}"/>
    <cellStyle name="Normal 2 2 2" xfId="428" xr:uid="{00000000-0005-0000-0000-0000950B0000}"/>
    <cellStyle name="Normal 2 2 2 2" xfId="532" xr:uid="{00000000-0005-0000-0000-0000960B0000}"/>
    <cellStyle name="Normal 2 2 2 2 2" xfId="786" xr:uid="{00000000-0005-0000-0000-0000970B0000}"/>
    <cellStyle name="Normal 2 2 2 3" xfId="682" xr:uid="{00000000-0005-0000-0000-0000980B0000}"/>
    <cellStyle name="Normal 2 2 2 4" xfId="4060" xr:uid="{00000000-0005-0000-0000-0000990B0000}"/>
    <cellStyle name="Normal 2 2 3" xfId="613" xr:uid="{00000000-0005-0000-0000-00009A0B0000}"/>
    <cellStyle name="Normal 2 2 3 2" xfId="862" xr:uid="{00000000-0005-0000-0000-00009B0B0000}"/>
    <cellStyle name="Normal 2 2 4" xfId="609" xr:uid="{00000000-0005-0000-0000-00009C0B0000}"/>
    <cellStyle name="Normal 2 2 5" xfId="531" xr:uid="{00000000-0005-0000-0000-00009D0B0000}"/>
    <cellStyle name="Normal 2 2 5 2" xfId="785" xr:uid="{00000000-0005-0000-0000-00009E0B0000}"/>
    <cellStyle name="Normal 2 2 6" xfId="620" xr:uid="{00000000-0005-0000-0000-00009F0B0000}"/>
    <cellStyle name="Normal 2 3" xfId="71" xr:uid="{00000000-0005-0000-0000-0000A00B0000}"/>
    <cellStyle name="Normal 2 3 2" xfId="2398" xr:uid="{00000000-0005-0000-0000-0000A10B0000}"/>
    <cellStyle name="Normal 2 3 2 2" xfId="4061" xr:uid="{00000000-0005-0000-0000-0000A20B0000}"/>
    <cellStyle name="Normal 2 3 3" xfId="2399" xr:uid="{00000000-0005-0000-0000-0000A30B0000}"/>
    <cellStyle name="Normal 2 4" xfId="395" xr:uid="{00000000-0005-0000-0000-0000A40B0000}"/>
    <cellStyle name="Normal 2 4 2" xfId="533" xr:uid="{00000000-0005-0000-0000-0000A50B0000}"/>
    <cellStyle name="Normal 2 4 2 2" xfId="787" xr:uid="{00000000-0005-0000-0000-0000A60B0000}"/>
    <cellStyle name="Normal 2 4 2 3" xfId="5479" xr:uid="{00000000-0005-0000-0000-0000A70B0000}"/>
    <cellStyle name="Normal 2 4 3" xfId="681" xr:uid="{00000000-0005-0000-0000-0000A80B0000}"/>
    <cellStyle name="Normal 2 4 4" xfId="4059" xr:uid="{00000000-0005-0000-0000-0000A90B0000}"/>
    <cellStyle name="Normal 2 4 5" xfId="5057" xr:uid="{00000000-0005-0000-0000-0000AA0B0000}"/>
    <cellStyle name="Normal 2 5" xfId="530" xr:uid="{00000000-0005-0000-0000-0000AB0B0000}"/>
    <cellStyle name="Normal 2 5 2" xfId="784" xr:uid="{00000000-0005-0000-0000-0000AC0B0000}"/>
    <cellStyle name="Normal 2 5 3" xfId="5506" xr:uid="{00000000-0005-0000-0000-0000AD0B0000}"/>
    <cellStyle name="Normal 2 6" xfId="619" xr:uid="{00000000-0005-0000-0000-0000AE0B0000}"/>
    <cellStyle name="Normal 2 7" xfId="678" xr:uid="{00000000-0005-0000-0000-0000AF0B0000}"/>
    <cellStyle name="Normal 2 8" xfId="5515" xr:uid="{00000000-0005-0000-0000-0000B00B0000}"/>
    <cellStyle name="Normal 2 9" xfId="5524" xr:uid="{00000000-0005-0000-0000-0000B10B0000}"/>
    <cellStyle name="Normal 2_Federal Interest Calculation Su" xfId="2400" xr:uid="{00000000-0005-0000-0000-0000B20B0000}"/>
    <cellStyle name="Normal 20" xfId="863" xr:uid="{00000000-0005-0000-0000-0000B30B0000}"/>
    <cellStyle name="Normal 20 10" xfId="4719" xr:uid="{00000000-0005-0000-0000-0000B40B0000}"/>
    <cellStyle name="Normal 20 2" xfId="2401" xr:uid="{00000000-0005-0000-0000-0000B50B0000}"/>
    <cellStyle name="Normal 20 2 2" xfId="2402" xr:uid="{00000000-0005-0000-0000-0000B60B0000}"/>
    <cellStyle name="Normal 20 3" xfId="2403" xr:uid="{00000000-0005-0000-0000-0000B70B0000}"/>
    <cellStyle name="Normal 20 3 2" xfId="2404" xr:uid="{00000000-0005-0000-0000-0000B80B0000}"/>
    <cellStyle name="Normal 20 3 2 2" xfId="2405" xr:uid="{00000000-0005-0000-0000-0000B90B0000}"/>
    <cellStyle name="Normal 20 3 2 3" xfId="2406" xr:uid="{00000000-0005-0000-0000-0000BA0B0000}"/>
    <cellStyle name="Normal 20 3 2 3 2" xfId="5426" xr:uid="{00000000-0005-0000-0000-0000BB0B0000}"/>
    <cellStyle name="Normal 20 3 2 4" xfId="5003" xr:uid="{00000000-0005-0000-0000-0000BC0B0000}"/>
    <cellStyle name="Normal 20 3 3" xfId="2407" xr:uid="{00000000-0005-0000-0000-0000BD0B0000}"/>
    <cellStyle name="Normal 20 3 3 2" xfId="3817" xr:uid="{00000000-0005-0000-0000-0000BE0B0000}"/>
    <cellStyle name="Normal 20 3 3 3" xfId="5063" xr:uid="{00000000-0005-0000-0000-0000BF0B0000}"/>
    <cellStyle name="Normal 20 3 4" xfId="2408" xr:uid="{00000000-0005-0000-0000-0000C00B0000}"/>
    <cellStyle name="Normal 20 3 5" xfId="2409" xr:uid="{00000000-0005-0000-0000-0000C10B0000}"/>
    <cellStyle name="Normal 20 3 5 2" xfId="5262" xr:uid="{00000000-0005-0000-0000-0000C20B0000}"/>
    <cellStyle name="Normal 20 3 6" xfId="4838" xr:uid="{00000000-0005-0000-0000-0000C30B0000}"/>
    <cellStyle name="Normal 20 4" xfId="2410" xr:uid="{00000000-0005-0000-0000-0000C40B0000}"/>
    <cellStyle name="Normal 20 4 2" xfId="2411" xr:uid="{00000000-0005-0000-0000-0000C50B0000}"/>
    <cellStyle name="Normal 20 4 2 2" xfId="2412" xr:uid="{00000000-0005-0000-0000-0000C60B0000}"/>
    <cellStyle name="Normal 20 4 2 2 2" xfId="5427" xr:uid="{00000000-0005-0000-0000-0000C70B0000}"/>
    <cellStyle name="Normal 20 4 2 3" xfId="5004" xr:uid="{00000000-0005-0000-0000-0000C80B0000}"/>
    <cellStyle name="Normal 20 4 3" xfId="2413" xr:uid="{00000000-0005-0000-0000-0000C90B0000}"/>
    <cellStyle name="Normal 20 4 3 2" xfId="5298" xr:uid="{00000000-0005-0000-0000-0000CA0B0000}"/>
    <cellStyle name="Normal 20 4 4" xfId="3705" xr:uid="{00000000-0005-0000-0000-0000CB0B0000}"/>
    <cellStyle name="Normal 20 4 5" xfId="4875" xr:uid="{00000000-0005-0000-0000-0000CC0B0000}"/>
    <cellStyle name="Normal 20 5" xfId="2414" xr:uid="{00000000-0005-0000-0000-0000CD0B0000}"/>
    <cellStyle name="Normal 20 6" xfId="2415" xr:uid="{00000000-0005-0000-0000-0000CE0B0000}"/>
    <cellStyle name="Normal 20 6 2" xfId="2416" xr:uid="{00000000-0005-0000-0000-0000CF0B0000}"/>
    <cellStyle name="Normal 20 6 2 2" xfId="5425" xr:uid="{00000000-0005-0000-0000-0000D00B0000}"/>
    <cellStyle name="Normal 20 6 3" xfId="5002" xr:uid="{00000000-0005-0000-0000-0000D10B0000}"/>
    <cellStyle name="Normal 20 7" xfId="2417" xr:uid="{00000000-0005-0000-0000-0000D20B0000}"/>
    <cellStyle name="Normal 20 8" xfId="2418" xr:uid="{00000000-0005-0000-0000-0000D30B0000}"/>
    <cellStyle name="Normal 20 8 2" xfId="5160" xr:uid="{00000000-0005-0000-0000-0000D40B0000}"/>
    <cellStyle name="Normal 20 9" xfId="3704" xr:uid="{00000000-0005-0000-0000-0000D50B0000}"/>
    <cellStyle name="Normal 200" xfId="2419" xr:uid="{00000000-0005-0000-0000-0000D60B0000}"/>
    <cellStyle name="Normal 200 2" xfId="4062" xr:uid="{00000000-0005-0000-0000-0000D70B0000}"/>
    <cellStyle name="Normal 201" xfId="2420" xr:uid="{00000000-0005-0000-0000-0000D80B0000}"/>
    <cellStyle name="Normal 201 2" xfId="4063" xr:uid="{00000000-0005-0000-0000-0000D90B0000}"/>
    <cellStyle name="Normal 202" xfId="2421" xr:uid="{00000000-0005-0000-0000-0000DA0B0000}"/>
    <cellStyle name="Normal 202 2" xfId="4064" xr:uid="{00000000-0005-0000-0000-0000DB0B0000}"/>
    <cellStyle name="Normal 203" xfId="2422" xr:uid="{00000000-0005-0000-0000-0000DC0B0000}"/>
    <cellStyle name="Normal 203 2" xfId="4065" xr:uid="{00000000-0005-0000-0000-0000DD0B0000}"/>
    <cellStyle name="Normal 204" xfId="2423" xr:uid="{00000000-0005-0000-0000-0000DE0B0000}"/>
    <cellStyle name="Normal 204 2" xfId="4066" xr:uid="{00000000-0005-0000-0000-0000DF0B0000}"/>
    <cellStyle name="Normal 205" xfId="2424" xr:uid="{00000000-0005-0000-0000-0000E00B0000}"/>
    <cellStyle name="Normal 205 2" xfId="4067" xr:uid="{00000000-0005-0000-0000-0000E10B0000}"/>
    <cellStyle name="Normal 206" xfId="2425" xr:uid="{00000000-0005-0000-0000-0000E20B0000}"/>
    <cellStyle name="Normal 206 2" xfId="4068" xr:uid="{00000000-0005-0000-0000-0000E30B0000}"/>
    <cellStyle name="Normal 207" xfId="2426" xr:uid="{00000000-0005-0000-0000-0000E40B0000}"/>
    <cellStyle name="Normal 207 2" xfId="4069" xr:uid="{00000000-0005-0000-0000-0000E50B0000}"/>
    <cellStyle name="Normal 208" xfId="2427" xr:uid="{00000000-0005-0000-0000-0000E60B0000}"/>
    <cellStyle name="Normal 208 2" xfId="2428" xr:uid="{00000000-0005-0000-0000-0000E70B0000}"/>
    <cellStyle name="Normal 208 2 2" xfId="4399" xr:uid="{00000000-0005-0000-0000-0000E80B0000}"/>
    <cellStyle name="Normal 208 3" xfId="4070" xr:uid="{00000000-0005-0000-0000-0000E90B0000}"/>
    <cellStyle name="Normal 209" xfId="2429" xr:uid="{00000000-0005-0000-0000-0000EA0B0000}"/>
    <cellStyle name="Normal 209 2" xfId="2430" xr:uid="{00000000-0005-0000-0000-0000EB0B0000}"/>
    <cellStyle name="Normal 209 2 2" xfId="4400" xr:uid="{00000000-0005-0000-0000-0000EC0B0000}"/>
    <cellStyle name="Normal 209 3" xfId="4071" xr:uid="{00000000-0005-0000-0000-0000ED0B0000}"/>
    <cellStyle name="Normal 21" xfId="2431" xr:uid="{00000000-0005-0000-0000-0000EE0B0000}"/>
    <cellStyle name="Normal 21 2" xfId="4072" xr:uid="{00000000-0005-0000-0000-0000EF0B0000}"/>
    <cellStyle name="Normal 210" xfId="2432" xr:uid="{00000000-0005-0000-0000-0000F00B0000}"/>
    <cellStyle name="Normal 210 2" xfId="4073" xr:uid="{00000000-0005-0000-0000-0000F10B0000}"/>
    <cellStyle name="Normal 211" xfId="2433" xr:uid="{00000000-0005-0000-0000-0000F20B0000}"/>
    <cellStyle name="Normal 211 2" xfId="2434" xr:uid="{00000000-0005-0000-0000-0000F30B0000}"/>
    <cellStyle name="Normal 211 2 2" xfId="4075" xr:uid="{00000000-0005-0000-0000-0000F40B0000}"/>
    <cellStyle name="Normal 211 3" xfId="2435" xr:uid="{00000000-0005-0000-0000-0000F50B0000}"/>
    <cellStyle name="Normal 211 3 2" xfId="4401" xr:uid="{00000000-0005-0000-0000-0000F60B0000}"/>
    <cellStyle name="Normal 211 4" xfId="4074" xr:uid="{00000000-0005-0000-0000-0000F70B0000}"/>
    <cellStyle name="Normal 212" xfId="2436" xr:uid="{00000000-0005-0000-0000-0000F80B0000}"/>
    <cellStyle name="Normal 212 2" xfId="2437" xr:uid="{00000000-0005-0000-0000-0000F90B0000}"/>
    <cellStyle name="Normal 212 2 2" xfId="4077" xr:uid="{00000000-0005-0000-0000-0000FA0B0000}"/>
    <cellStyle name="Normal 212 3" xfId="2438" xr:uid="{00000000-0005-0000-0000-0000FB0B0000}"/>
    <cellStyle name="Normal 212 3 2" xfId="4402" xr:uid="{00000000-0005-0000-0000-0000FC0B0000}"/>
    <cellStyle name="Normal 212 4" xfId="4076" xr:uid="{00000000-0005-0000-0000-0000FD0B0000}"/>
    <cellStyle name="Normal 213" xfId="2439" xr:uid="{00000000-0005-0000-0000-0000FE0B0000}"/>
    <cellStyle name="Normal 213 2" xfId="2440" xr:uid="{00000000-0005-0000-0000-0000FF0B0000}"/>
    <cellStyle name="Normal 213 2 2" xfId="4079" xr:uid="{00000000-0005-0000-0000-0000000C0000}"/>
    <cellStyle name="Normal 213 3" xfId="2441" xr:uid="{00000000-0005-0000-0000-0000010C0000}"/>
    <cellStyle name="Normal 213 3 2" xfId="4403" xr:uid="{00000000-0005-0000-0000-0000020C0000}"/>
    <cellStyle name="Normal 213 4" xfId="4078" xr:uid="{00000000-0005-0000-0000-0000030C0000}"/>
    <cellStyle name="Normal 214" xfId="2442" xr:uid="{00000000-0005-0000-0000-0000040C0000}"/>
    <cellStyle name="Normal 214 2" xfId="2443" xr:uid="{00000000-0005-0000-0000-0000050C0000}"/>
    <cellStyle name="Normal 214 2 2" xfId="4081" xr:uid="{00000000-0005-0000-0000-0000060C0000}"/>
    <cellStyle name="Normal 214 3" xfId="2444" xr:uid="{00000000-0005-0000-0000-0000070C0000}"/>
    <cellStyle name="Normal 214 3 2" xfId="4404" xr:uid="{00000000-0005-0000-0000-0000080C0000}"/>
    <cellStyle name="Normal 214 4" xfId="4080" xr:uid="{00000000-0005-0000-0000-0000090C0000}"/>
    <cellStyle name="Normal 215" xfId="2445" xr:uid="{00000000-0005-0000-0000-00000A0C0000}"/>
    <cellStyle name="Normal 215 2" xfId="2446" xr:uid="{00000000-0005-0000-0000-00000B0C0000}"/>
    <cellStyle name="Normal 215 2 2" xfId="4083" xr:uid="{00000000-0005-0000-0000-00000C0C0000}"/>
    <cellStyle name="Normal 215 3" xfId="2447" xr:uid="{00000000-0005-0000-0000-00000D0C0000}"/>
    <cellStyle name="Normal 215 3 2" xfId="4405" xr:uid="{00000000-0005-0000-0000-00000E0C0000}"/>
    <cellStyle name="Normal 215 4" xfId="4082" xr:uid="{00000000-0005-0000-0000-00000F0C0000}"/>
    <cellStyle name="Normal 216" xfId="2448" xr:uid="{00000000-0005-0000-0000-0000100C0000}"/>
    <cellStyle name="Normal 216 2" xfId="2449" xr:uid="{00000000-0005-0000-0000-0000110C0000}"/>
    <cellStyle name="Normal 216 2 2" xfId="4406" xr:uid="{00000000-0005-0000-0000-0000120C0000}"/>
    <cellStyle name="Normal 216 3" xfId="4084" xr:uid="{00000000-0005-0000-0000-0000130C0000}"/>
    <cellStyle name="Normal 217" xfId="2450" xr:uid="{00000000-0005-0000-0000-0000140C0000}"/>
    <cellStyle name="Normal 217 2" xfId="2451" xr:uid="{00000000-0005-0000-0000-0000150C0000}"/>
    <cellStyle name="Normal 217 2 2" xfId="4407" xr:uid="{00000000-0005-0000-0000-0000160C0000}"/>
    <cellStyle name="Normal 217 3" xfId="4085" xr:uid="{00000000-0005-0000-0000-0000170C0000}"/>
    <cellStyle name="Normal 218" xfId="2452" xr:uid="{00000000-0005-0000-0000-0000180C0000}"/>
    <cellStyle name="Normal 218 2" xfId="2453" xr:uid="{00000000-0005-0000-0000-0000190C0000}"/>
    <cellStyle name="Normal 218 2 2" xfId="4408" xr:uid="{00000000-0005-0000-0000-00001A0C0000}"/>
    <cellStyle name="Normal 218 3" xfId="4086" xr:uid="{00000000-0005-0000-0000-00001B0C0000}"/>
    <cellStyle name="Normal 219" xfId="2454" xr:uid="{00000000-0005-0000-0000-00001C0C0000}"/>
    <cellStyle name="Normal 219 2" xfId="2455" xr:uid="{00000000-0005-0000-0000-00001D0C0000}"/>
    <cellStyle name="Normal 219 2 2" xfId="4409" xr:uid="{00000000-0005-0000-0000-00001E0C0000}"/>
    <cellStyle name="Normal 219 3" xfId="4087" xr:uid="{00000000-0005-0000-0000-00001F0C0000}"/>
    <cellStyle name="Normal 22" xfId="2456" xr:uid="{00000000-0005-0000-0000-0000200C0000}"/>
    <cellStyle name="Normal 22 2" xfId="4088" xr:uid="{00000000-0005-0000-0000-0000210C0000}"/>
    <cellStyle name="Normal 220" xfId="2457" xr:uid="{00000000-0005-0000-0000-0000220C0000}"/>
    <cellStyle name="Normal 220 2" xfId="4089" xr:uid="{00000000-0005-0000-0000-0000230C0000}"/>
    <cellStyle name="Normal 221" xfId="2458" xr:uid="{00000000-0005-0000-0000-0000240C0000}"/>
    <cellStyle name="Normal 221 2" xfId="2459" xr:uid="{00000000-0005-0000-0000-0000250C0000}"/>
    <cellStyle name="Normal 221 2 2" xfId="3818" xr:uid="{00000000-0005-0000-0000-0000260C0000}"/>
    <cellStyle name="Normal 221 2 3" xfId="5061" xr:uid="{00000000-0005-0000-0000-0000270C0000}"/>
    <cellStyle name="Normal 221 3" xfId="4090" xr:uid="{00000000-0005-0000-0000-0000280C0000}"/>
    <cellStyle name="Normal 222" xfId="2460" xr:uid="{00000000-0005-0000-0000-0000290C0000}"/>
    <cellStyle name="Normal 222 2" xfId="2461" xr:uid="{00000000-0005-0000-0000-00002A0C0000}"/>
    <cellStyle name="Normal 222 2 2" xfId="3819" xr:uid="{00000000-0005-0000-0000-00002B0C0000}"/>
    <cellStyle name="Normal 222 2 3" xfId="5075" xr:uid="{00000000-0005-0000-0000-00002C0C0000}"/>
    <cellStyle name="Normal 222 3" xfId="4091" xr:uid="{00000000-0005-0000-0000-00002D0C0000}"/>
    <cellStyle name="Normal 223" xfId="2462" xr:uid="{00000000-0005-0000-0000-00002E0C0000}"/>
    <cellStyle name="Normal 223 2" xfId="4092" xr:uid="{00000000-0005-0000-0000-00002F0C0000}"/>
    <cellStyle name="Normal 224" xfId="2463" xr:uid="{00000000-0005-0000-0000-0000300C0000}"/>
    <cellStyle name="Normal 224 2" xfId="3820" xr:uid="{00000000-0005-0000-0000-0000310C0000}"/>
    <cellStyle name="Normal 224 2 2" xfId="4410" xr:uid="{00000000-0005-0000-0000-0000320C0000}"/>
    <cellStyle name="Normal 224 3" xfId="3706" xr:uid="{00000000-0005-0000-0000-0000330C0000}"/>
    <cellStyle name="Normal 225" xfId="2464" xr:uid="{00000000-0005-0000-0000-0000340C0000}"/>
    <cellStyle name="Normal 225 2" xfId="3821" xr:uid="{00000000-0005-0000-0000-0000350C0000}"/>
    <cellStyle name="Normal 225 2 2" xfId="4411" xr:uid="{00000000-0005-0000-0000-0000360C0000}"/>
    <cellStyle name="Normal 225 3" xfId="3707" xr:uid="{00000000-0005-0000-0000-0000370C0000}"/>
    <cellStyle name="Normal 226" xfId="2465" xr:uid="{00000000-0005-0000-0000-0000380C0000}"/>
    <cellStyle name="Normal 226 2" xfId="3822" xr:uid="{00000000-0005-0000-0000-0000390C0000}"/>
    <cellStyle name="Normal 226 2 2" xfId="4412" xr:uid="{00000000-0005-0000-0000-00003A0C0000}"/>
    <cellStyle name="Normal 226 3" xfId="3708" xr:uid="{00000000-0005-0000-0000-00003B0C0000}"/>
    <cellStyle name="Normal 227" xfId="2466" xr:uid="{00000000-0005-0000-0000-00003C0C0000}"/>
    <cellStyle name="Normal 227 2" xfId="3823" xr:uid="{00000000-0005-0000-0000-00003D0C0000}"/>
    <cellStyle name="Normal 227 2 2" xfId="4413" xr:uid="{00000000-0005-0000-0000-00003E0C0000}"/>
    <cellStyle name="Normal 227 3" xfId="3709" xr:uid="{00000000-0005-0000-0000-00003F0C0000}"/>
    <cellStyle name="Normal 228" xfId="2467" xr:uid="{00000000-0005-0000-0000-0000400C0000}"/>
    <cellStyle name="Normal 228 2" xfId="3824" xr:uid="{00000000-0005-0000-0000-0000410C0000}"/>
    <cellStyle name="Normal 228 2 2" xfId="4414" xr:uid="{00000000-0005-0000-0000-0000420C0000}"/>
    <cellStyle name="Normal 228 3" xfId="3710" xr:uid="{00000000-0005-0000-0000-0000430C0000}"/>
    <cellStyle name="Normal 229" xfId="2468" xr:uid="{00000000-0005-0000-0000-0000440C0000}"/>
    <cellStyle name="Normal 229 2" xfId="3825" xr:uid="{00000000-0005-0000-0000-0000450C0000}"/>
    <cellStyle name="Normal 229 2 2" xfId="4415" xr:uid="{00000000-0005-0000-0000-0000460C0000}"/>
    <cellStyle name="Normal 229 3" xfId="3711" xr:uid="{00000000-0005-0000-0000-0000470C0000}"/>
    <cellStyle name="Normal 23" xfId="2469" xr:uid="{00000000-0005-0000-0000-0000480C0000}"/>
    <cellStyle name="Normal 23 2" xfId="4093" xr:uid="{00000000-0005-0000-0000-0000490C0000}"/>
    <cellStyle name="Normal 230" xfId="2470" xr:uid="{00000000-0005-0000-0000-00004A0C0000}"/>
    <cellStyle name="Normal 230 2" xfId="4094" xr:uid="{00000000-0005-0000-0000-00004B0C0000}"/>
    <cellStyle name="Normal 231" xfId="2471" xr:uid="{00000000-0005-0000-0000-00004C0C0000}"/>
    <cellStyle name="Normal 231 2" xfId="4095" xr:uid="{00000000-0005-0000-0000-00004D0C0000}"/>
    <cellStyle name="Normal 232" xfId="2472" xr:uid="{00000000-0005-0000-0000-00004E0C0000}"/>
    <cellStyle name="Normal 232 2" xfId="3826" xr:uid="{00000000-0005-0000-0000-00004F0C0000}"/>
    <cellStyle name="Normal 232 2 2" xfId="4416" xr:uid="{00000000-0005-0000-0000-0000500C0000}"/>
    <cellStyle name="Normal 233" xfId="2473" xr:uid="{00000000-0005-0000-0000-0000510C0000}"/>
    <cellStyle name="Normal 233 2" xfId="3827" xr:uid="{00000000-0005-0000-0000-0000520C0000}"/>
    <cellStyle name="Normal 233 2 2" xfId="4417" xr:uid="{00000000-0005-0000-0000-0000530C0000}"/>
    <cellStyle name="Normal 234" xfId="2474" xr:uid="{00000000-0005-0000-0000-0000540C0000}"/>
    <cellStyle name="Normal 234 2" xfId="3828" xr:uid="{00000000-0005-0000-0000-0000550C0000}"/>
    <cellStyle name="Normal 234 2 2" xfId="4418" xr:uid="{00000000-0005-0000-0000-0000560C0000}"/>
    <cellStyle name="Normal 235" xfId="2475" xr:uid="{00000000-0005-0000-0000-0000570C0000}"/>
    <cellStyle name="Normal 235 2" xfId="4419" xr:uid="{00000000-0005-0000-0000-0000580C0000}"/>
    <cellStyle name="Normal 236" xfId="2476" xr:uid="{00000000-0005-0000-0000-0000590C0000}"/>
    <cellStyle name="Normal 236 2" xfId="4420" xr:uid="{00000000-0005-0000-0000-00005A0C0000}"/>
    <cellStyle name="Normal 237" xfId="2477" xr:uid="{00000000-0005-0000-0000-00005B0C0000}"/>
    <cellStyle name="Normal 237 2" xfId="4421" xr:uid="{00000000-0005-0000-0000-00005C0C0000}"/>
    <cellStyle name="Normal 238" xfId="2478" xr:uid="{00000000-0005-0000-0000-00005D0C0000}"/>
    <cellStyle name="Normal 238 2" xfId="4422" xr:uid="{00000000-0005-0000-0000-00005E0C0000}"/>
    <cellStyle name="Normal 239" xfId="2479" xr:uid="{00000000-0005-0000-0000-00005F0C0000}"/>
    <cellStyle name="Normal 239 2" xfId="4423" xr:uid="{00000000-0005-0000-0000-0000600C0000}"/>
    <cellStyle name="Normal 24" xfId="2480" xr:uid="{00000000-0005-0000-0000-0000610C0000}"/>
    <cellStyle name="Normal 24 2" xfId="4096" xr:uid="{00000000-0005-0000-0000-0000620C0000}"/>
    <cellStyle name="Normal 240" xfId="2481" xr:uid="{00000000-0005-0000-0000-0000630C0000}"/>
    <cellStyle name="Normal 240 2" xfId="4424" xr:uid="{00000000-0005-0000-0000-0000640C0000}"/>
    <cellStyle name="Normal 241" xfId="2482" xr:uid="{00000000-0005-0000-0000-0000650C0000}"/>
    <cellStyle name="Normal 241 2" xfId="4425" xr:uid="{00000000-0005-0000-0000-0000660C0000}"/>
    <cellStyle name="Normal 242" xfId="2483" xr:uid="{00000000-0005-0000-0000-0000670C0000}"/>
    <cellStyle name="Normal 242 2" xfId="4426" xr:uid="{00000000-0005-0000-0000-0000680C0000}"/>
    <cellStyle name="Normal 243" xfId="2484" xr:uid="{00000000-0005-0000-0000-0000690C0000}"/>
    <cellStyle name="Normal 243 2" xfId="4427" xr:uid="{00000000-0005-0000-0000-00006A0C0000}"/>
    <cellStyle name="Normal 244" xfId="2485" xr:uid="{00000000-0005-0000-0000-00006B0C0000}"/>
    <cellStyle name="Normal 244 2" xfId="4428" xr:uid="{00000000-0005-0000-0000-00006C0C0000}"/>
    <cellStyle name="Normal 245" xfId="2486" xr:uid="{00000000-0005-0000-0000-00006D0C0000}"/>
    <cellStyle name="Normal 245 2" xfId="4429" xr:uid="{00000000-0005-0000-0000-00006E0C0000}"/>
    <cellStyle name="Normal 246" xfId="2487" xr:uid="{00000000-0005-0000-0000-00006F0C0000}"/>
    <cellStyle name="Normal 246 2" xfId="4430" xr:uid="{00000000-0005-0000-0000-0000700C0000}"/>
    <cellStyle name="Normal 247" xfId="2488" xr:uid="{00000000-0005-0000-0000-0000710C0000}"/>
    <cellStyle name="Normal 247 2" xfId="4431" xr:uid="{00000000-0005-0000-0000-0000720C0000}"/>
    <cellStyle name="Normal 248" xfId="2489" xr:uid="{00000000-0005-0000-0000-0000730C0000}"/>
    <cellStyle name="Normal 248 2" xfId="4432" xr:uid="{00000000-0005-0000-0000-0000740C0000}"/>
    <cellStyle name="Normal 249" xfId="2490" xr:uid="{00000000-0005-0000-0000-0000750C0000}"/>
    <cellStyle name="Normal 249 2" xfId="4433" xr:uid="{00000000-0005-0000-0000-0000760C0000}"/>
    <cellStyle name="Normal 25" xfId="2491" xr:uid="{00000000-0005-0000-0000-0000770C0000}"/>
    <cellStyle name="Normal 25 2" xfId="4097" xr:uid="{00000000-0005-0000-0000-0000780C0000}"/>
    <cellStyle name="Normal 250" xfId="2492" xr:uid="{00000000-0005-0000-0000-0000790C0000}"/>
    <cellStyle name="Normal 250 2" xfId="4434" xr:uid="{00000000-0005-0000-0000-00007A0C0000}"/>
    <cellStyle name="Normal 251" xfId="2493" xr:uid="{00000000-0005-0000-0000-00007B0C0000}"/>
    <cellStyle name="Normal 251 2" xfId="4435" xr:uid="{00000000-0005-0000-0000-00007C0C0000}"/>
    <cellStyle name="Normal 252" xfId="2494" xr:uid="{00000000-0005-0000-0000-00007D0C0000}"/>
    <cellStyle name="Normal 252 2" xfId="4436" xr:uid="{00000000-0005-0000-0000-00007E0C0000}"/>
    <cellStyle name="Normal 253" xfId="2495" xr:uid="{00000000-0005-0000-0000-00007F0C0000}"/>
    <cellStyle name="Normal 253 2" xfId="4437" xr:uid="{00000000-0005-0000-0000-0000800C0000}"/>
    <cellStyle name="Normal 254" xfId="2496" xr:uid="{00000000-0005-0000-0000-0000810C0000}"/>
    <cellStyle name="Normal 254 2" xfId="4438" xr:uid="{00000000-0005-0000-0000-0000820C0000}"/>
    <cellStyle name="Normal 255" xfId="2497" xr:uid="{00000000-0005-0000-0000-0000830C0000}"/>
    <cellStyle name="Normal 255 2" xfId="4439" xr:uid="{00000000-0005-0000-0000-0000840C0000}"/>
    <cellStyle name="Normal 256" xfId="2498" xr:uid="{00000000-0005-0000-0000-0000850C0000}"/>
    <cellStyle name="Normal 256 2" xfId="4440" xr:uid="{00000000-0005-0000-0000-0000860C0000}"/>
    <cellStyle name="Normal 257" xfId="2499" xr:uid="{00000000-0005-0000-0000-0000870C0000}"/>
    <cellStyle name="Normal 257 2" xfId="4441" xr:uid="{00000000-0005-0000-0000-0000880C0000}"/>
    <cellStyle name="Normal 258" xfId="2500" xr:uid="{00000000-0005-0000-0000-0000890C0000}"/>
    <cellStyle name="Normal 258 2" xfId="4442" xr:uid="{00000000-0005-0000-0000-00008A0C0000}"/>
    <cellStyle name="Normal 259" xfId="2501" xr:uid="{00000000-0005-0000-0000-00008B0C0000}"/>
    <cellStyle name="Normal 259 2" xfId="4443" xr:uid="{00000000-0005-0000-0000-00008C0C0000}"/>
    <cellStyle name="Normal 26" xfId="2502" xr:uid="{00000000-0005-0000-0000-00008D0C0000}"/>
    <cellStyle name="Normal 26 2" xfId="2503" xr:uid="{00000000-0005-0000-0000-00008E0C0000}"/>
    <cellStyle name="Normal 26 2 2" xfId="2504" xr:uid="{00000000-0005-0000-0000-00008F0C0000}"/>
    <cellStyle name="Normal 26 2 2 2" xfId="2505" xr:uid="{00000000-0005-0000-0000-0000900C0000}"/>
    <cellStyle name="Normal 26 2 2 2 2" xfId="5429" xr:uid="{00000000-0005-0000-0000-0000910C0000}"/>
    <cellStyle name="Normal 26 2 2 3" xfId="5006" xr:uid="{00000000-0005-0000-0000-0000920C0000}"/>
    <cellStyle name="Normal 26 2 3" xfId="2506" xr:uid="{00000000-0005-0000-0000-0000930C0000}"/>
    <cellStyle name="Normal 26 2 3 2" xfId="5274" xr:uid="{00000000-0005-0000-0000-0000940C0000}"/>
    <cellStyle name="Normal 26 2 4" xfId="4098" xr:uid="{00000000-0005-0000-0000-0000950C0000}"/>
    <cellStyle name="Normal 26 2 5" xfId="4851" xr:uid="{00000000-0005-0000-0000-0000960C0000}"/>
    <cellStyle name="Normal 26 3" xfId="2507" xr:uid="{00000000-0005-0000-0000-0000970C0000}"/>
    <cellStyle name="Normal 26 3 2" xfId="2508" xr:uid="{00000000-0005-0000-0000-0000980C0000}"/>
    <cellStyle name="Normal 26 3 2 2" xfId="2509" xr:uid="{00000000-0005-0000-0000-0000990C0000}"/>
    <cellStyle name="Normal 26 3 2 2 2" xfId="5430" xr:uid="{00000000-0005-0000-0000-00009A0C0000}"/>
    <cellStyle name="Normal 26 3 2 3" xfId="5007" xr:uid="{00000000-0005-0000-0000-00009B0C0000}"/>
    <cellStyle name="Normal 26 3 3" xfId="2510" xr:uid="{00000000-0005-0000-0000-00009C0C0000}"/>
    <cellStyle name="Normal 26 3 3 2" xfId="5243" xr:uid="{00000000-0005-0000-0000-00009D0C0000}"/>
    <cellStyle name="Normal 26 3 4" xfId="4817" xr:uid="{00000000-0005-0000-0000-00009E0C0000}"/>
    <cellStyle name="Normal 26 4" xfId="2511" xr:uid="{00000000-0005-0000-0000-00009F0C0000}"/>
    <cellStyle name="Normal 26 4 2" xfId="2512" xr:uid="{00000000-0005-0000-0000-0000A00C0000}"/>
    <cellStyle name="Normal 26 4 2 2" xfId="5428" xr:uid="{00000000-0005-0000-0000-0000A10C0000}"/>
    <cellStyle name="Normal 26 4 3" xfId="5005" xr:uid="{00000000-0005-0000-0000-0000A20C0000}"/>
    <cellStyle name="Normal 26 5" xfId="2513" xr:uid="{00000000-0005-0000-0000-0000A30C0000}"/>
    <cellStyle name="Normal 26 6" xfId="2514" xr:uid="{00000000-0005-0000-0000-0000A40C0000}"/>
    <cellStyle name="Normal 26 6 2" xfId="5136" xr:uid="{00000000-0005-0000-0000-0000A50C0000}"/>
    <cellStyle name="Normal 26 7" xfId="4685" xr:uid="{00000000-0005-0000-0000-0000A60C0000}"/>
    <cellStyle name="Normal 260" xfId="2515" xr:uid="{00000000-0005-0000-0000-0000A70C0000}"/>
    <cellStyle name="Normal 260 2" xfId="4444" xr:uid="{00000000-0005-0000-0000-0000A80C0000}"/>
    <cellStyle name="Normal 261" xfId="2516" xr:uid="{00000000-0005-0000-0000-0000A90C0000}"/>
    <cellStyle name="Normal 261 2" xfId="4445" xr:uid="{00000000-0005-0000-0000-0000AA0C0000}"/>
    <cellStyle name="Normal 262" xfId="2517" xr:uid="{00000000-0005-0000-0000-0000AB0C0000}"/>
    <cellStyle name="Normal 262 2" xfId="4446" xr:uid="{00000000-0005-0000-0000-0000AC0C0000}"/>
    <cellStyle name="Normal 263" xfId="2518" xr:uid="{00000000-0005-0000-0000-0000AD0C0000}"/>
    <cellStyle name="Normal 263 2" xfId="4447" xr:uid="{00000000-0005-0000-0000-0000AE0C0000}"/>
    <cellStyle name="Normal 264" xfId="2519" xr:uid="{00000000-0005-0000-0000-0000AF0C0000}"/>
    <cellStyle name="Normal 264 2" xfId="3829" xr:uid="{00000000-0005-0000-0000-0000B00C0000}"/>
    <cellStyle name="Normal 264 3" xfId="5112" xr:uid="{00000000-0005-0000-0000-0000B10C0000}"/>
    <cellStyle name="Normal 265" xfId="2520" xr:uid="{00000000-0005-0000-0000-0000B20C0000}"/>
    <cellStyle name="Normal 265 2" xfId="4448" xr:uid="{00000000-0005-0000-0000-0000B30C0000}"/>
    <cellStyle name="Normal 266" xfId="2521" xr:uid="{00000000-0005-0000-0000-0000B40C0000}"/>
    <cellStyle name="Normal 266 2" xfId="4449" xr:uid="{00000000-0005-0000-0000-0000B50C0000}"/>
    <cellStyle name="Normal 267" xfId="2522" xr:uid="{00000000-0005-0000-0000-0000B60C0000}"/>
    <cellStyle name="Normal 267 2" xfId="4450" xr:uid="{00000000-0005-0000-0000-0000B70C0000}"/>
    <cellStyle name="Normal 268" xfId="2523" xr:uid="{00000000-0005-0000-0000-0000B80C0000}"/>
    <cellStyle name="Normal 268 2" xfId="4451" xr:uid="{00000000-0005-0000-0000-0000B90C0000}"/>
    <cellStyle name="Normal 269" xfId="2524" xr:uid="{00000000-0005-0000-0000-0000BA0C0000}"/>
    <cellStyle name="Normal 269 2" xfId="4452" xr:uid="{00000000-0005-0000-0000-0000BB0C0000}"/>
    <cellStyle name="Normal 27" xfId="2525" xr:uid="{00000000-0005-0000-0000-0000BC0C0000}"/>
    <cellStyle name="Normal 27 2" xfId="2526" xr:uid="{00000000-0005-0000-0000-0000BD0C0000}"/>
    <cellStyle name="Normal 27 2 2" xfId="2527" xr:uid="{00000000-0005-0000-0000-0000BE0C0000}"/>
    <cellStyle name="Normal 27 2 2 2" xfId="2528" xr:uid="{00000000-0005-0000-0000-0000BF0C0000}"/>
    <cellStyle name="Normal 27 2 2 2 2" xfId="5432" xr:uid="{00000000-0005-0000-0000-0000C00C0000}"/>
    <cellStyle name="Normal 27 2 2 3" xfId="5009" xr:uid="{00000000-0005-0000-0000-0000C10C0000}"/>
    <cellStyle name="Normal 27 2 3" xfId="2529" xr:uid="{00000000-0005-0000-0000-0000C20C0000}"/>
    <cellStyle name="Normal 27 2 3 2" xfId="5277" xr:uid="{00000000-0005-0000-0000-0000C30C0000}"/>
    <cellStyle name="Normal 27 2 4" xfId="4099" xr:uid="{00000000-0005-0000-0000-0000C40C0000}"/>
    <cellStyle name="Normal 27 2 5" xfId="4854" xr:uid="{00000000-0005-0000-0000-0000C50C0000}"/>
    <cellStyle name="Normal 27 3" xfId="2530" xr:uid="{00000000-0005-0000-0000-0000C60C0000}"/>
    <cellStyle name="Normal 27 4" xfId="2531" xr:uid="{00000000-0005-0000-0000-0000C70C0000}"/>
    <cellStyle name="Normal 27 4 2" xfId="2532" xr:uid="{00000000-0005-0000-0000-0000C80C0000}"/>
    <cellStyle name="Normal 27 4 2 2" xfId="5431" xr:uid="{00000000-0005-0000-0000-0000C90C0000}"/>
    <cellStyle name="Normal 27 4 3" xfId="5008" xr:uid="{00000000-0005-0000-0000-0000CA0C0000}"/>
    <cellStyle name="Normal 27 5" xfId="2533" xr:uid="{00000000-0005-0000-0000-0000CB0C0000}"/>
    <cellStyle name="Normal 27 5 2" xfId="5139" xr:uid="{00000000-0005-0000-0000-0000CC0C0000}"/>
    <cellStyle name="Normal 27 6" xfId="4691" xr:uid="{00000000-0005-0000-0000-0000CD0C0000}"/>
    <cellStyle name="Normal 270" xfId="2534" xr:uid="{00000000-0005-0000-0000-0000CE0C0000}"/>
    <cellStyle name="Normal 270 2" xfId="4453" xr:uid="{00000000-0005-0000-0000-0000CF0C0000}"/>
    <cellStyle name="Normal 271" xfId="2535" xr:uid="{00000000-0005-0000-0000-0000D00C0000}"/>
    <cellStyle name="Normal 271 2" xfId="4454" xr:uid="{00000000-0005-0000-0000-0000D10C0000}"/>
    <cellStyle name="Normal 272" xfId="2536" xr:uid="{00000000-0005-0000-0000-0000D20C0000}"/>
    <cellStyle name="Normal 272 2" xfId="4455" xr:uid="{00000000-0005-0000-0000-0000D30C0000}"/>
    <cellStyle name="Normal 273" xfId="2537" xr:uid="{00000000-0005-0000-0000-0000D40C0000}"/>
    <cellStyle name="Normal 273 2" xfId="4456" xr:uid="{00000000-0005-0000-0000-0000D50C0000}"/>
    <cellStyle name="Normal 274" xfId="2538" xr:uid="{00000000-0005-0000-0000-0000D60C0000}"/>
    <cellStyle name="Normal 274 2" xfId="4457" xr:uid="{00000000-0005-0000-0000-0000D70C0000}"/>
    <cellStyle name="Normal 275" xfId="2539" xr:uid="{00000000-0005-0000-0000-0000D80C0000}"/>
    <cellStyle name="Normal 275 2" xfId="4458" xr:uid="{00000000-0005-0000-0000-0000D90C0000}"/>
    <cellStyle name="Normal 276" xfId="2540" xr:uid="{00000000-0005-0000-0000-0000DA0C0000}"/>
    <cellStyle name="Normal 276 2" xfId="4459" xr:uid="{00000000-0005-0000-0000-0000DB0C0000}"/>
    <cellStyle name="Normal 277" xfId="2541" xr:uid="{00000000-0005-0000-0000-0000DC0C0000}"/>
    <cellStyle name="Normal 277 2" xfId="4460" xr:uid="{00000000-0005-0000-0000-0000DD0C0000}"/>
    <cellStyle name="Normal 278" xfId="2542" xr:uid="{00000000-0005-0000-0000-0000DE0C0000}"/>
    <cellStyle name="Normal 278 2" xfId="4461" xr:uid="{00000000-0005-0000-0000-0000DF0C0000}"/>
    <cellStyle name="Normal 279" xfId="11" xr:uid="{00000000-0005-0000-0000-0000E00C0000}"/>
    <cellStyle name="Normal 279 2" xfId="396" xr:uid="{00000000-0005-0000-0000-0000E10C0000}"/>
    <cellStyle name="Normal 279 2 2" xfId="5484" xr:uid="{00000000-0005-0000-0000-0000E20C0000}"/>
    <cellStyle name="Normal 28" xfId="2543" xr:uid="{00000000-0005-0000-0000-0000E30C0000}"/>
    <cellStyle name="Normal 28 2" xfId="2544" xr:uid="{00000000-0005-0000-0000-0000E40C0000}"/>
    <cellStyle name="Normal 28 2 2" xfId="4100" xr:uid="{00000000-0005-0000-0000-0000E50C0000}"/>
    <cellStyle name="Normal 28 3" xfId="2545" xr:uid="{00000000-0005-0000-0000-0000E60C0000}"/>
    <cellStyle name="Normal 280" xfId="2546" xr:uid="{00000000-0005-0000-0000-0000E70C0000}"/>
    <cellStyle name="Normal 280 2" xfId="3871" xr:uid="{00000000-0005-0000-0000-0000E80C0000}"/>
    <cellStyle name="Normal 281" xfId="2547" xr:uid="{00000000-0005-0000-0000-0000E90C0000}"/>
    <cellStyle name="Normal 281 2" xfId="2548" xr:uid="{00000000-0005-0000-0000-0000EA0C0000}"/>
    <cellStyle name="Normal 281 3" xfId="3870" xr:uid="{00000000-0005-0000-0000-0000EB0C0000}"/>
    <cellStyle name="Normal 282" xfId="2549" xr:uid="{00000000-0005-0000-0000-0000EC0C0000}"/>
    <cellStyle name="Normal 282 2" xfId="2550" xr:uid="{00000000-0005-0000-0000-0000ED0C0000}"/>
    <cellStyle name="Normal 282 2 2" xfId="5132" xr:uid="{00000000-0005-0000-0000-0000EE0C0000}"/>
    <cellStyle name="Normal 282 3" xfId="3869" xr:uid="{00000000-0005-0000-0000-0000EF0C0000}"/>
    <cellStyle name="Normal 283" xfId="2551" xr:uid="{00000000-0005-0000-0000-0000F00C0000}"/>
    <cellStyle name="Normal 283 2" xfId="3868" xr:uid="{00000000-0005-0000-0000-0000F10C0000}"/>
    <cellStyle name="Normal 284" xfId="2552" xr:uid="{00000000-0005-0000-0000-0000F20C0000}"/>
    <cellStyle name="Normal 284 2" xfId="3867" xr:uid="{00000000-0005-0000-0000-0000F30C0000}"/>
    <cellStyle name="Normal 285" xfId="2553" xr:uid="{00000000-0005-0000-0000-0000F40C0000}"/>
    <cellStyle name="Normal 285 2" xfId="3859" xr:uid="{00000000-0005-0000-0000-0000F50C0000}"/>
    <cellStyle name="Normal 286" xfId="2554" xr:uid="{00000000-0005-0000-0000-0000F60C0000}"/>
    <cellStyle name="Normal 286 2" xfId="3858" xr:uid="{00000000-0005-0000-0000-0000F70C0000}"/>
    <cellStyle name="Normal 287" xfId="2555" xr:uid="{00000000-0005-0000-0000-0000F80C0000}"/>
    <cellStyle name="Normal 287 2" xfId="3857" xr:uid="{00000000-0005-0000-0000-0000F90C0000}"/>
    <cellStyle name="Normal 288" xfId="2556" xr:uid="{00000000-0005-0000-0000-0000FA0C0000}"/>
    <cellStyle name="Normal 288 2" xfId="3847" xr:uid="{00000000-0005-0000-0000-0000FB0C0000}"/>
    <cellStyle name="Normal 289" xfId="2557" xr:uid="{00000000-0005-0000-0000-0000FC0C0000}"/>
    <cellStyle name="Normal 289 2" xfId="3846" xr:uid="{00000000-0005-0000-0000-0000FD0C0000}"/>
    <cellStyle name="Normal 29" xfId="2558" xr:uid="{00000000-0005-0000-0000-0000FE0C0000}"/>
    <cellStyle name="Normal 29 2" xfId="2559" xr:uid="{00000000-0005-0000-0000-0000FF0C0000}"/>
    <cellStyle name="Normal 29 2 2" xfId="2560" xr:uid="{00000000-0005-0000-0000-0000000D0000}"/>
    <cellStyle name="Normal 29 2 2 2" xfId="5433" xr:uid="{00000000-0005-0000-0000-0000010D0000}"/>
    <cellStyle name="Normal 29 2 3" xfId="2561" xr:uid="{00000000-0005-0000-0000-0000020D0000}"/>
    <cellStyle name="Normal 29 2 4" xfId="4101" xr:uid="{00000000-0005-0000-0000-0000030D0000}"/>
    <cellStyle name="Normal 29 2 5" xfId="5010" xr:uid="{00000000-0005-0000-0000-0000040D0000}"/>
    <cellStyle name="Normal 29 3" xfId="2562" xr:uid="{00000000-0005-0000-0000-0000050D0000}"/>
    <cellStyle name="Normal 29 4" xfId="2563" xr:uid="{00000000-0005-0000-0000-0000060D0000}"/>
    <cellStyle name="Normal 29 4 2" xfId="5266" xr:uid="{00000000-0005-0000-0000-0000070D0000}"/>
    <cellStyle name="Normal 29 5" xfId="2564" xr:uid="{00000000-0005-0000-0000-0000080D0000}"/>
    <cellStyle name="Normal 29 6" xfId="4843" xr:uid="{00000000-0005-0000-0000-0000090D0000}"/>
    <cellStyle name="Normal 290" xfId="2565" xr:uid="{00000000-0005-0000-0000-00000A0D0000}"/>
    <cellStyle name="Normal 290 2" xfId="4398" xr:uid="{00000000-0005-0000-0000-00000B0D0000}"/>
    <cellStyle name="Normal 291" xfId="2566" xr:uid="{00000000-0005-0000-0000-00000C0D0000}"/>
    <cellStyle name="Normal 291 2" xfId="4486" xr:uid="{00000000-0005-0000-0000-00000D0D0000}"/>
    <cellStyle name="Normal 292" xfId="2567" xr:uid="{00000000-0005-0000-0000-00000E0D0000}"/>
    <cellStyle name="Normal 292 2" xfId="3815" xr:uid="{00000000-0005-0000-0000-00000F0D0000}"/>
    <cellStyle name="Normal 293" xfId="2568" xr:uid="{00000000-0005-0000-0000-0000100D0000}"/>
    <cellStyle name="Normal 293 2" xfId="3814" xr:uid="{00000000-0005-0000-0000-0000110D0000}"/>
    <cellStyle name="Normal 294" xfId="2569" xr:uid="{00000000-0005-0000-0000-0000120D0000}"/>
    <cellStyle name="Normal 294 2" xfId="3807" xr:uid="{00000000-0005-0000-0000-0000130D0000}"/>
    <cellStyle name="Normal 295" xfId="2570" xr:uid="{00000000-0005-0000-0000-0000140D0000}"/>
    <cellStyle name="Normal 295 2" xfId="3806" xr:uid="{00000000-0005-0000-0000-0000150D0000}"/>
    <cellStyle name="Normal 296" xfId="2571" xr:uid="{00000000-0005-0000-0000-0000160D0000}"/>
    <cellStyle name="Normal 296 2" xfId="3803" xr:uid="{00000000-0005-0000-0000-0000170D0000}"/>
    <cellStyle name="Normal 297" xfId="2572" xr:uid="{00000000-0005-0000-0000-0000180D0000}"/>
    <cellStyle name="Normal 297 2" xfId="3802" xr:uid="{00000000-0005-0000-0000-0000190D0000}"/>
    <cellStyle name="Normal 298" xfId="2573" xr:uid="{00000000-0005-0000-0000-00001A0D0000}"/>
    <cellStyle name="Normal 298 2" xfId="3796" xr:uid="{00000000-0005-0000-0000-00001B0D0000}"/>
    <cellStyle name="Normal 299" xfId="2574" xr:uid="{00000000-0005-0000-0000-00001C0D0000}"/>
    <cellStyle name="Normal 299 2" xfId="4392" xr:uid="{00000000-0005-0000-0000-00001D0D0000}"/>
    <cellStyle name="Normal 299 3" xfId="3789" xr:uid="{00000000-0005-0000-0000-00001E0D0000}"/>
    <cellStyle name="Normal 3" xfId="67" xr:uid="{00000000-0005-0000-0000-00001F0D0000}"/>
    <cellStyle name="Normal 3 2" xfId="304" xr:uid="{00000000-0005-0000-0000-0000200D0000}"/>
    <cellStyle name="Normal 3 2 2" xfId="305" xr:uid="{00000000-0005-0000-0000-0000210D0000}"/>
    <cellStyle name="Normal 3 2 2 2" xfId="306" xr:uid="{00000000-0005-0000-0000-0000220D0000}"/>
    <cellStyle name="Normal 3 2 2 2 2" xfId="449" xr:uid="{00000000-0005-0000-0000-0000230D0000}"/>
    <cellStyle name="Normal 3 2 2 2 2 2" xfId="537" xr:uid="{00000000-0005-0000-0000-0000240D0000}"/>
    <cellStyle name="Normal 3 2 2 2 2 2 2" xfId="791" xr:uid="{00000000-0005-0000-0000-0000250D0000}"/>
    <cellStyle name="Normal 3 2 2 2 2 3" xfId="703" xr:uid="{00000000-0005-0000-0000-0000260D0000}"/>
    <cellStyle name="Normal 3 2 2 2 3" xfId="536" xr:uid="{00000000-0005-0000-0000-0000270D0000}"/>
    <cellStyle name="Normal 3 2 2 2 3 2" xfId="790" xr:uid="{00000000-0005-0000-0000-0000280D0000}"/>
    <cellStyle name="Normal 3 2 2 2 4" xfId="641" xr:uid="{00000000-0005-0000-0000-0000290D0000}"/>
    <cellStyle name="Normal 3 2 2 2 5" xfId="5089" xr:uid="{00000000-0005-0000-0000-00002A0D0000}"/>
    <cellStyle name="Normal 3 2 2 3" xfId="307" xr:uid="{00000000-0005-0000-0000-00002B0D0000}"/>
    <cellStyle name="Normal 3 2 2 3 2" xfId="450" xr:uid="{00000000-0005-0000-0000-00002C0D0000}"/>
    <cellStyle name="Normal 3 2 2 3 2 2" xfId="539" xr:uid="{00000000-0005-0000-0000-00002D0D0000}"/>
    <cellStyle name="Normal 3 2 2 3 2 2 2" xfId="793" xr:uid="{00000000-0005-0000-0000-00002E0D0000}"/>
    <cellStyle name="Normal 3 2 2 3 2 3" xfId="704" xr:uid="{00000000-0005-0000-0000-00002F0D0000}"/>
    <cellStyle name="Normal 3 2 2 3 3" xfId="538" xr:uid="{00000000-0005-0000-0000-0000300D0000}"/>
    <cellStyle name="Normal 3 2 2 3 3 2" xfId="792" xr:uid="{00000000-0005-0000-0000-0000310D0000}"/>
    <cellStyle name="Normal 3 2 2 3 4" xfId="642" xr:uid="{00000000-0005-0000-0000-0000320D0000}"/>
    <cellStyle name="Normal 3 2 2 4" xfId="448" xr:uid="{00000000-0005-0000-0000-0000330D0000}"/>
    <cellStyle name="Normal 3 2 2 4 2" xfId="540" xr:uid="{00000000-0005-0000-0000-0000340D0000}"/>
    <cellStyle name="Normal 3 2 2 4 2 2" xfId="794" xr:uid="{00000000-0005-0000-0000-0000350D0000}"/>
    <cellStyle name="Normal 3 2 2 4 3" xfId="702" xr:uid="{00000000-0005-0000-0000-0000360D0000}"/>
    <cellStyle name="Normal 3 2 2 5" xfId="535" xr:uid="{00000000-0005-0000-0000-0000370D0000}"/>
    <cellStyle name="Normal 3 2 2 5 2" xfId="789" xr:uid="{00000000-0005-0000-0000-0000380D0000}"/>
    <cellStyle name="Normal 3 2 2 6" xfId="640" xr:uid="{00000000-0005-0000-0000-0000390D0000}"/>
    <cellStyle name="Normal 3 2 2 7" xfId="3714" xr:uid="{00000000-0005-0000-0000-00003A0D0000}"/>
    <cellStyle name="Normal 3 2 2 8" xfId="4770" xr:uid="{00000000-0005-0000-0000-00003B0D0000}"/>
    <cellStyle name="Normal 3 2 3" xfId="308" xr:uid="{00000000-0005-0000-0000-00003C0D0000}"/>
    <cellStyle name="Normal 3 2 3 2" xfId="451" xr:uid="{00000000-0005-0000-0000-00003D0D0000}"/>
    <cellStyle name="Normal 3 2 3 2 2" xfId="542" xr:uid="{00000000-0005-0000-0000-00003E0D0000}"/>
    <cellStyle name="Normal 3 2 3 2 2 2" xfId="796" xr:uid="{00000000-0005-0000-0000-00003F0D0000}"/>
    <cellStyle name="Normal 3 2 3 2 3" xfId="705" xr:uid="{00000000-0005-0000-0000-0000400D0000}"/>
    <cellStyle name="Normal 3 2 3 3" xfId="541" xr:uid="{00000000-0005-0000-0000-0000410D0000}"/>
    <cellStyle name="Normal 3 2 3 3 2" xfId="795" xr:uid="{00000000-0005-0000-0000-0000420D0000}"/>
    <cellStyle name="Normal 3 2 3 4" xfId="643" xr:uid="{00000000-0005-0000-0000-0000430D0000}"/>
    <cellStyle name="Normal 3 2 3 5" xfId="3715" xr:uid="{00000000-0005-0000-0000-0000440D0000}"/>
    <cellStyle name="Normal 3 2 4" xfId="309" xr:uid="{00000000-0005-0000-0000-0000450D0000}"/>
    <cellStyle name="Normal 3 2 4 2" xfId="452" xr:uid="{00000000-0005-0000-0000-0000460D0000}"/>
    <cellStyle name="Normal 3 2 4 2 2" xfId="544" xr:uid="{00000000-0005-0000-0000-0000470D0000}"/>
    <cellStyle name="Normal 3 2 4 2 2 2" xfId="798" xr:uid="{00000000-0005-0000-0000-0000480D0000}"/>
    <cellStyle name="Normal 3 2 4 2 3" xfId="706" xr:uid="{00000000-0005-0000-0000-0000490D0000}"/>
    <cellStyle name="Normal 3 2 4 3" xfId="543" xr:uid="{00000000-0005-0000-0000-00004A0D0000}"/>
    <cellStyle name="Normal 3 2 4 3 2" xfId="797" xr:uid="{00000000-0005-0000-0000-00004B0D0000}"/>
    <cellStyle name="Normal 3 2 4 4" xfId="644" xr:uid="{00000000-0005-0000-0000-00004C0D0000}"/>
    <cellStyle name="Normal 3 2 4 5" xfId="3716" xr:uid="{00000000-0005-0000-0000-00004D0D0000}"/>
    <cellStyle name="Normal 3 2 5" xfId="447" xr:uid="{00000000-0005-0000-0000-00004E0D0000}"/>
    <cellStyle name="Normal 3 2 5 2" xfId="545" xr:uid="{00000000-0005-0000-0000-00004F0D0000}"/>
    <cellStyle name="Normal 3 2 5 2 2" xfId="799" xr:uid="{00000000-0005-0000-0000-0000500D0000}"/>
    <cellStyle name="Normal 3 2 5 3" xfId="701" xr:uid="{00000000-0005-0000-0000-0000510D0000}"/>
    <cellStyle name="Normal 3 2 5 4" xfId="5099" xr:uid="{00000000-0005-0000-0000-0000520D0000}"/>
    <cellStyle name="Normal 3 2 6" xfId="534" xr:uid="{00000000-0005-0000-0000-0000530D0000}"/>
    <cellStyle name="Normal 3 2 6 2" xfId="788" xr:uid="{00000000-0005-0000-0000-0000540D0000}"/>
    <cellStyle name="Normal 3 2 7" xfId="639" xr:uid="{00000000-0005-0000-0000-0000550D0000}"/>
    <cellStyle name="Normal 3 2 8" xfId="3713" xr:uid="{00000000-0005-0000-0000-0000560D0000}"/>
    <cellStyle name="Normal 3 2 9" xfId="4720" xr:uid="{00000000-0005-0000-0000-0000570D0000}"/>
    <cellStyle name="Normal 3 3" xfId="310" xr:uid="{00000000-0005-0000-0000-0000580D0000}"/>
    <cellStyle name="Normal 3 3 2" xfId="311" xr:uid="{00000000-0005-0000-0000-0000590D0000}"/>
    <cellStyle name="Normal 3 3 2 2" xfId="2575" xr:uid="{00000000-0005-0000-0000-00005A0D0000}"/>
    <cellStyle name="Normal 3 3 2 3" xfId="2576" xr:uid="{00000000-0005-0000-0000-00005B0D0000}"/>
    <cellStyle name="Normal 3 3 2 3 2" xfId="3831" xr:uid="{00000000-0005-0000-0000-00005C0D0000}"/>
    <cellStyle name="Normal 3 3 2 3 3" xfId="5069" xr:uid="{00000000-0005-0000-0000-00005D0D0000}"/>
    <cellStyle name="Normal 3 3 3" xfId="312" xr:uid="{00000000-0005-0000-0000-00005E0D0000}"/>
    <cellStyle name="Normal 3 3 3 2" xfId="453" xr:uid="{00000000-0005-0000-0000-00005F0D0000}"/>
    <cellStyle name="Normal 3 3 3 2 2" xfId="547" xr:uid="{00000000-0005-0000-0000-0000600D0000}"/>
    <cellStyle name="Normal 3 3 3 2 2 2" xfId="801" xr:uid="{00000000-0005-0000-0000-0000610D0000}"/>
    <cellStyle name="Normal 3 3 3 2 3" xfId="707" xr:uid="{00000000-0005-0000-0000-0000620D0000}"/>
    <cellStyle name="Normal 3 3 3 2 4" xfId="4103" xr:uid="{00000000-0005-0000-0000-0000630D0000}"/>
    <cellStyle name="Normal 3 3 3 3" xfId="546" xr:uid="{00000000-0005-0000-0000-0000640D0000}"/>
    <cellStyle name="Normal 3 3 3 3 2" xfId="800" xr:uid="{00000000-0005-0000-0000-0000650D0000}"/>
    <cellStyle name="Normal 3 3 3 4" xfId="645" xr:uid="{00000000-0005-0000-0000-0000660D0000}"/>
    <cellStyle name="Normal 3 3 3 5" xfId="3717" xr:uid="{00000000-0005-0000-0000-0000670D0000}"/>
    <cellStyle name="Normal 3 3 4" xfId="313" xr:uid="{00000000-0005-0000-0000-0000680D0000}"/>
    <cellStyle name="Normal 3 3 4 2" xfId="454" xr:uid="{00000000-0005-0000-0000-0000690D0000}"/>
    <cellStyle name="Normal 3 3 4 2 2" xfId="549" xr:uid="{00000000-0005-0000-0000-00006A0D0000}"/>
    <cellStyle name="Normal 3 3 4 2 2 2" xfId="803" xr:uid="{00000000-0005-0000-0000-00006B0D0000}"/>
    <cellStyle name="Normal 3 3 4 2 3" xfId="708" xr:uid="{00000000-0005-0000-0000-00006C0D0000}"/>
    <cellStyle name="Normal 3 3 4 3" xfId="548" xr:uid="{00000000-0005-0000-0000-00006D0D0000}"/>
    <cellStyle name="Normal 3 3 4 3 2" xfId="802" xr:uid="{00000000-0005-0000-0000-00006E0D0000}"/>
    <cellStyle name="Normal 3 3 4 4" xfId="646" xr:uid="{00000000-0005-0000-0000-00006F0D0000}"/>
    <cellStyle name="Normal 3 3 4 5" xfId="3718" xr:uid="{00000000-0005-0000-0000-0000700D0000}"/>
    <cellStyle name="Normal 3 3 5" xfId="4102" xr:uid="{00000000-0005-0000-0000-0000710D0000}"/>
    <cellStyle name="Normal 3 4" xfId="314" xr:uid="{00000000-0005-0000-0000-0000720D0000}"/>
    <cellStyle name="Normal 3 4 2" xfId="315" xr:uid="{00000000-0005-0000-0000-0000730D0000}"/>
    <cellStyle name="Normal 3 4 2 2" xfId="3719" xr:uid="{00000000-0005-0000-0000-0000740D0000}"/>
    <cellStyle name="Normal 3 4 3" xfId="4104" xr:uid="{00000000-0005-0000-0000-0000750D0000}"/>
    <cellStyle name="Normal 3 4 4" xfId="5131" xr:uid="{00000000-0005-0000-0000-0000760D0000}"/>
    <cellStyle name="Normal 3 5" xfId="316" xr:uid="{00000000-0005-0000-0000-0000770D0000}"/>
    <cellStyle name="Normal 3 5 2" xfId="455" xr:uid="{00000000-0005-0000-0000-0000780D0000}"/>
    <cellStyle name="Normal 3 5 2 2" xfId="551" xr:uid="{00000000-0005-0000-0000-0000790D0000}"/>
    <cellStyle name="Normal 3 5 2 2 2" xfId="805" xr:uid="{00000000-0005-0000-0000-00007A0D0000}"/>
    <cellStyle name="Normal 3 5 2 3" xfId="709" xr:uid="{00000000-0005-0000-0000-00007B0D0000}"/>
    <cellStyle name="Normal 3 5 3" xfId="550" xr:uid="{00000000-0005-0000-0000-00007C0D0000}"/>
    <cellStyle name="Normal 3 5 3 2" xfId="804" xr:uid="{00000000-0005-0000-0000-00007D0D0000}"/>
    <cellStyle name="Normal 3 5 4" xfId="647" xr:uid="{00000000-0005-0000-0000-00007E0D0000}"/>
    <cellStyle name="Normal 3 5 5" xfId="4517" xr:uid="{00000000-0005-0000-0000-00007F0D0000}"/>
    <cellStyle name="Normal 3 6" xfId="4512" xr:uid="{00000000-0005-0000-0000-0000800D0000}"/>
    <cellStyle name="Normal 3 7" xfId="3712" xr:uid="{00000000-0005-0000-0000-0000810D0000}"/>
    <cellStyle name="Normal 3_710 CFS; full sustain + full expand (static-like)" xfId="2577" xr:uid="{00000000-0005-0000-0000-0000820D0000}"/>
    <cellStyle name="Normal 30" xfId="2578" xr:uid="{00000000-0005-0000-0000-0000830D0000}"/>
    <cellStyle name="Normal 30 2" xfId="2579" xr:uid="{00000000-0005-0000-0000-0000840D0000}"/>
    <cellStyle name="Normal 30 2 2" xfId="2580" xr:uid="{00000000-0005-0000-0000-0000850D0000}"/>
    <cellStyle name="Normal 30 2 2 2" xfId="5434" xr:uid="{00000000-0005-0000-0000-0000860D0000}"/>
    <cellStyle name="Normal 30 2 3" xfId="2581" xr:uid="{00000000-0005-0000-0000-0000870D0000}"/>
    <cellStyle name="Normal 30 2 4" xfId="4105" xr:uid="{00000000-0005-0000-0000-0000880D0000}"/>
    <cellStyle name="Normal 30 2 5" xfId="5011" xr:uid="{00000000-0005-0000-0000-0000890D0000}"/>
    <cellStyle name="Normal 30 3" xfId="2582" xr:uid="{00000000-0005-0000-0000-00008A0D0000}"/>
    <cellStyle name="Normal 30 4" xfId="2583" xr:uid="{00000000-0005-0000-0000-00008B0D0000}"/>
    <cellStyle name="Normal 30 4 2" xfId="5267" xr:uid="{00000000-0005-0000-0000-00008C0D0000}"/>
    <cellStyle name="Normal 30 5" xfId="2584" xr:uid="{00000000-0005-0000-0000-00008D0D0000}"/>
    <cellStyle name="Normal 30 6" xfId="4844" xr:uid="{00000000-0005-0000-0000-00008E0D0000}"/>
    <cellStyle name="Normal 300" xfId="2585" xr:uid="{00000000-0005-0000-0000-00008F0D0000}"/>
    <cellStyle name="Normal 300 2" xfId="3882" xr:uid="{00000000-0005-0000-0000-0000900D0000}"/>
    <cellStyle name="Normal 301" xfId="2586" xr:uid="{00000000-0005-0000-0000-0000910D0000}"/>
    <cellStyle name="Normal 301 2" xfId="3881" xr:uid="{00000000-0005-0000-0000-0000920D0000}"/>
    <cellStyle name="Normal 302" xfId="2587" xr:uid="{00000000-0005-0000-0000-0000930D0000}"/>
    <cellStyle name="Normal 302 2" xfId="3880" xr:uid="{00000000-0005-0000-0000-0000940D0000}"/>
    <cellStyle name="Normal 303" xfId="2588" xr:uid="{00000000-0005-0000-0000-0000950D0000}"/>
    <cellStyle name="Normal 303 2" xfId="3879" xr:uid="{00000000-0005-0000-0000-0000960D0000}"/>
    <cellStyle name="Normal 304" xfId="2589" xr:uid="{00000000-0005-0000-0000-0000970D0000}"/>
    <cellStyle name="Normal 304 2" xfId="3878" xr:uid="{00000000-0005-0000-0000-0000980D0000}"/>
    <cellStyle name="Normal 305" xfId="2590" xr:uid="{00000000-0005-0000-0000-0000990D0000}"/>
    <cellStyle name="Normal 305 2" xfId="3877" xr:uid="{00000000-0005-0000-0000-00009A0D0000}"/>
    <cellStyle name="Normal 306" xfId="2591" xr:uid="{00000000-0005-0000-0000-00009B0D0000}"/>
    <cellStyle name="Normal 306 2" xfId="3876" xr:uid="{00000000-0005-0000-0000-00009C0D0000}"/>
    <cellStyle name="Normal 307" xfId="2592" xr:uid="{00000000-0005-0000-0000-00009D0D0000}"/>
    <cellStyle name="Normal 307 2" xfId="3875" xr:uid="{00000000-0005-0000-0000-00009E0D0000}"/>
    <cellStyle name="Normal 308" xfId="2593" xr:uid="{00000000-0005-0000-0000-00009F0D0000}"/>
    <cellStyle name="Normal 308 2" xfId="3874" xr:uid="{00000000-0005-0000-0000-0000A00D0000}"/>
    <cellStyle name="Normal 309" xfId="2594" xr:uid="{00000000-0005-0000-0000-0000A10D0000}"/>
    <cellStyle name="Normal 309 2" xfId="4485" xr:uid="{00000000-0005-0000-0000-0000A20D0000}"/>
    <cellStyle name="Normal 309 3" xfId="3873" xr:uid="{00000000-0005-0000-0000-0000A30D0000}"/>
    <cellStyle name="Normal 31" xfId="2595" xr:uid="{00000000-0005-0000-0000-0000A40D0000}"/>
    <cellStyle name="Normal 31 2" xfId="2596" xr:uid="{00000000-0005-0000-0000-0000A50D0000}"/>
    <cellStyle name="Normal 31 2 2" xfId="2597" xr:uid="{00000000-0005-0000-0000-0000A60D0000}"/>
    <cellStyle name="Normal 31 2 2 2" xfId="5435" xr:uid="{00000000-0005-0000-0000-0000A70D0000}"/>
    <cellStyle name="Normal 31 2 3" xfId="4106" xr:uid="{00000000-0005-0000-0000-0000A80D0000}"/>
    <cellStyle name="Normal 31 2 4" xfId="5012" xr:uid="{00000000-0005-0000-0000-0000A90D0000}"/>
    <cellStyle name="Normal 31 3" xfId="2598" xr:uid="{00000000-0005-0000-0000-0000AA0D0000}"/>
    <cellStyle name="Normal 31 4" xfId="2599" xr:uid="{00000000-0005-0000-0000-0000AB0D0000}"/>
    <cellStyle name="Normal 31 4 2" xfId="5268" xr:uid="{00000000-0005-0000-0000-0000AC0D0000}"/>
    <cellStyle name="Normal 31 5" xfId="4845" xr:uid="{00000000-0005-0000-0000-0000AD0D0000}"/>
    <cellStyle name="Normal 310" xfId="12" xr:uid="{00000000-0005-0000-0000-0000AE0D0000}"/>
    <cellStyle name="Normal 310 2" xfId="397" xr:uid="{00000000-0005-0000-0000-0000AF0D0000}"/>
    <cellStyle name="Normal 311" xfId="13" xr:uid="{00000000-0005-0000-0000-0000B00D0000}"/>
    <cellStyle name="Normal 311 2" xfId="398" xr:uid="{00000000-0005-0000-0000-0000B10D0000}"/>
    <cellStyle name="Normal 312" xfId="14" xr:uid="{00000000-0005-0000-0000-0000B20D0000}"/>
    <cellStyle name="Normal 312 2" xfId="399" xr:uid="{00000000-0005-0000-0000-0000B30D0000}"/>
    <cellStyle name="Normal 313" xfId="15" xr:uid="{00000000-0005-0000-0000-0000B40D0000}"/>
    <cellStyle name="Normal 313 2" xfId="400" xr:uid="{00000000-0005-0000-0000-0000B50D0000}"/>
    <cellStyle name="Normal 314" xfId="16" xr:uid="{00000000-0005-0000-0000-0000B60D0000}"/>
    <cellStyle name="Normal 314 2" xfId="401" xr:uid="{00000000-0005-0000-0000-0000B70D0000}"/>
    <cellStyle name="Normal 315" xfId="17" xr:uid="{00000000-0005-0000-0000-0000B80D0000}"/>
    <cellStyle name="Normal 315 2" xfId="402" xr:uid="{00000000-0005-0000-0000-0000B90D0000}"/>
    <cellStyle name="Normal 316" xfId="18" xr:uid="{00000000-0005-0000-0000-0000BA0D0000}"/>
    <cellStyle name="Normal 316 2" xfId="403" xr:uid="{00000000-0005-0000-0000-0000BB0D0000}"/>
    <cellStyle name="Normal 317" xfId="19" xr:uid="{00000000-0005-0000-0000-0000BC0D0000}"/>
    <cellStyle name="Normal 317 2" xfId="404" xr:uid="{00000000-0005-0000-0000-0000BD0D0000}"/>
    <cellStyle name="Normal 318" xfId="20" xr:uid="{00000000-0005-0000-0000-0000BE0D0000}"/>
    <cellStyle name="Normal 318 2" xfId="405" xr:uid="{00000000-0005-0000-0000-0000BF0D0000}"/>
    <cellStyle name="Normal 319" xfId="21" xr:uid="{00000000-0005-0000-0000-0000C00D0000}"/>
    <cellStyle name="Normal 319 2" xfId="406" xr:uid="{00000000-0005-0000-0000-0000C10D0000}"/>
    <cellStyle name="Normal 32" xfId="2600" xr:uid="{00000000-0005-0000-0000-0000C20D0000}"/>
    <cellStyle name="Normal 32 2" xfId="2601" xr:uid="{00000000-0005-0000-0000-0000C30D0000}"/>
    <cellStyle name="Normal 32 2 2" xfId="2602" xr:uid="{00000000-0005-0000-0000-0000C40D0000}"/>
    <cellStyle name="Normal 32 2 2 2" xfId="5436" xr:uid="{00000000-0005-0000-0000-0000C50D0000}"/>
    <cellStyle name="Normal 32 2 3" xfId="2603" xr:uid="{00000000-0005-0000-0000-0000C60D0000}"/>
    <cellStyle name="Normal 32 2 4" xfId="5013" xr:uid="{00000000-0005-0000-0000-0000C70D0000}"/>
    <cellStyle name="Normal 32 3" xfId="2604" xr:uid="{00000000-0005-0000-0000-0000C80D0000}"/>
    <cellStyle name="Normal 32 4" xfId="2605" xr:uid="{00000000-0005-0000-0000-0000C90D0000}"/>
    <cellStyle name="Normal 32 4 2" xfId="5269" xr:uid="{00000000-0005-0000-0000-0000CA0D0000}"/>
    <cellStyle name="Normal 32 5" xfId="4846" xr:uid="{00000000-0005-0000-0000-0000CB0D0000}"/>
    <cellStyle name="Normal 320" xfId="22" xr:uid="{00000000-0005-0000-0000-0000CC0D0000}"/>
    <cellStyle name="Normal 320 2" xfId="407" xr:uid="{00000000-0005-0000-0000-0000CD0D0000}"/>
    <cellStyle name="Normal 321" xfId="23" xr:uid="{00000000-0005-0000-0000-0000CE0D0000}"/>
    <cellStyle name="Normal 321 2" xfId="408" xr:uid="{00000000-0005-0000-0000-0000CF0D0000}"/>
    <cellStyle name="Normal 322" xfId="24" xr:uid="{00000000-0005-0000-0000-0000D00D0000}"/>
    <cellStyle name="Normal 322 2" xfId="409" xr:uid="{00000000-0005-0000-0000-0000D10D0000}"/>
    <cellStyle name="Normal 323" xfId="25" xr:uid="{00000000-0005-0000-0000-0000D20D0000}"/>
    <cellStyle name="Normal 323 2" xfId="410" xr:uid="{00000000-0005-0000-0000-0000D30D0000}"/>
    <cellStyle name="Normal 324" xfId="2606" xr:uid="{00000000-0005-0000-0000-0000D40D0000}"/>
    <cellStyle name="Normal 324 2" xfId="4509" xr:uid="{00000000-0005-0000-0000-0000D50D0000}"/>
    <cellStyle name="Normal 324 3" xfId="3886" xr:uid="{00000000-0005-0000-0000-0000D60D0000}"/>
    <cellStyle name="Normal 325" xfId="26" xr:uid="{00000000-0005-0000-0000-0000D70D0000}"/>
    <cellStyle name="Normal 325 2" xfId="411" xr:uid="{00000000-0005-0000-0000-0000D80D0000}"/>
    <cellStyle name="Normal 326" xfId="27" xr:uid="{00000000-0005-0000-0000-0000D90D0000}"/>
    <cellStyle name="Normal 326 2" xfId="412" xr:uid="{00000000-0005-0000-0000-0000DA0D0000}"/>
    <cellStyle name="Normal 327" xfId="28" xr:uid="{00000000-0005-0000-0000-0000DB0D0000}"/>
    <cellStyle name="Normal 327 2" xfId="413" xr:uid="{00000000-0005-0000-0000-0000DC0D0000}"/>
    <cellStyle name="Normal 328" xfId="29" xr:uid="{00000000-0005-0000-0000-0000DD0D0000}"/>
    <cellStyle name="Normal 328 2" xfId="414" xr:uid="{00000000-0005-0000-0000-0000DE0D0000}"/>
    <cellStyle name="Normal 329" xfId="30" xr:uid="{00000000-0005-0000-0000-0000DF0D0000}"/>
    <cellStyle name="Normal 329 2" xfId="415" xr:uid="{00000000-0005-0000-0000-0000E00D0000}"/>
    <cellStyle name="Normal 33" xfId="2607" xr:uid="{00000000-0005-0000-0000-0000E10D0000}"/>
    <cellStyle name="Normal 33 2" xfId="2608" xr:uid="{00000000-0005-0000-0000-0000E20D0000}"/>
    <cellStyle name="Normal 33 2 2" xfId="2609" xr:uid="{00000000-0005-0000-0000-0000E30D0000}"/>
    <cellStyle name="Normal 33 3" xfId="2610" xr:uid="{00000000-0005-0000-0000-0000E40D0000}"/>
    <cellStyle name="Normal 330" xfId="31" xr:uid="{00000000-0005-0000-0000-0000E50D0000}"/>
    <cellStyle name="Normal 330 2" xfId="416" xr:uid="{00000000-0005-0000-0000-0000E60D0000}"/>
    <cellStyle name="Normal 331" xfId="32" xr:uid="{00000000-0005-0000-0000-0000E70D0000}"/>
    <cellStyle name="Normal 331 2" xfId="417" xr:uid="{00000000-0005-0000-0000-0000E80D0000}"/>
    <cellStyle name="Normal 332" xfId="33" xr:uid="{00000000-0005-0000-0000-0000E90D0000}"/>
    <cellStyle name="Normal 332 2" xfId="418" xr:uid="{00000000-0005-0000-0000-0000EA0D0000}"/>
    <cellStyle name="Normal 333" xfId="34" xr:uid="{00000000-0005-0000-0000-0000EB0D0000}"/>
    <cellStyle name="Normal 333 2" xfId="419" xr:uid="{00000000-0005-0000-0000-0000EC0D0000}"/>
    <cellStyle name="Normal 334" xfId="35" xr:uid="{00000000-0005-0000-0000-0000ED0D0000}"/>
    <cellStyle name="Normal 334 2" xfId="420" xr:uid="{00000000-0005-0000-0000-0000EE0D0000}"/>
    <cellStyle name="Normal 335" xfId="2611" xr:uid="{00000000-0005-0000-0000-0000EF0D0000}"/>
    <cellStyle name="Normal 335 2" xfId="4510" xr:uid="{00000000-0005-0000-0000-0000F00D0000}"/>
    <cellStyle name="Normal 335 3" xfId="3887" xr:uid="{00000000-0005-0000-0000-0000F10D0000}"/>
    <cellStyle name="Normal 336" xfId="36" xr:uid="{00000000-0005-0000-0000-0000F20D0000}"/>
    <cellStyle name="Normal 336 2" xfId="421" xr:uid="{00000000-0005-0000-0000-0000F30D0000}"/>
    <cellStyle name="Normal 337" xfId="37" xr:uid="{00000000-0005-0000-0000-0000F40D0000}"/>
    <cellStyle name="Normal 337 2" xfId="422" xr:uid="{00000000-0005-0000-0000-0000F50D0000}"/>
    <cellStyle name="Normal 338" xfId="38" xr:uid="{00000000-0005-0000-0000-0000F60D0000}"/>
    <cellStyle name="Normal 338 2" xfId="423" xr:uid="{00000000-0005-0000-0000-0000F70D0000}"/>
    <cellStyle name="Normal 339" xfId="39" xr:uid="{00000000-0005-0000-0000-0000F80D0000}"/>
    <cellStyle name="Normal 339 2" xfId="424" xr:uid="{00000000-0005-0000-0000-0000F90D0000}"/>
    <cellStyle name="Normal 34" xfId="2612" xr:uid="{00000000-0005-0000-0000-0000FA0D0000}"/>
    <cellStyle name="Normal 34 2" xfId="2613" xr:uid="{00000000-0005-0000-0000-0000FB0D0000}"/>
    <cellStyle name="Normal 34 2 2" xfId="2614" xr:uid="{00000000-0005-0000-0000-0000FC0D0000}"/>
    <cellStyle name="Normal 34 3" xfId="2615" xr:uid="{00000000-0005-0000-0000-0000FD0D0000}"/>
    <cellStyle name="Normal 340" xfId="40" xr:uid="{00000000-0005-0000-0000-0000FE0D0000}"/>
    <cellStyle name="Normal 340 2" xfId="425" xr:uid="{00000000-0005-0000-0000-0000FF0D0000}"/>
    <cellStyle name="Normal 341" xfId="41" xr:uid="{00000000-0005-0000-0000-0000000E0000}"/>
    <cellStyle name="Normal 341 2" xfId="426" xr:uid="{00000000-0005-0000-0000-0000010E0000}"/>
    <cellStyle name="Normal 342" xfId="2616" xr:uid="{00000000-0005-0000-0000-0000020E0000}"/>
    <cellStyle name="Normal 342 2" xfId="3888" xr:uid="{00000000-0005-0000-0000-0000030E0000}"/>
    <cellStyle name="Normal 343" xfId="42" xr:uid="{00000000-0005-0000-0000-0000040E0000}"/>
    <cellStyle name="Normal 343 2" xfId="427" xr:uid="{00000000-0005-0000-0000-0000050E0000}"/>
    <cellStyle name="Normal 344" xfId="2617" xr:uid="{00000000-0005-0000-0000-0000060E0000}"/>
    <cellStyle name="Normal 345" xfId="2618" xr:uid="{00000000-0005-0000-0000-0000070E0000}"/>
    <cellStyle name="Normal 345 2" xfId="4530" xr:uid="{00000000-0005-0000-0000-0000080E0000}"/>
    <cellStyle name="Normal 345 2 2" xfId="4581" xr:uid="{00000000-0005-0000-0000-0000090E0000}"/>
    <cellStyle name="Normal 346" xfId="2619" xr:uid="{00000000-0005-0000-0000-00000A0E0000}"/>
    <cellStyle name="Normal 347" xfId="2620" xr:uid="{00000000-0005-0000-0000-00000B0E0000}"/>
    <cellStyle name="Normal 347 2" xfId="4583" xr:uid="{00000000-0005-0000-0000-00000C0E0000}"/>
    <cellStyle name="Normal 348" xfId="2621" xr:uid="{00000000-0005-0000-0000-00000D0E0000}"/>
    <cellStyle name="Normal 349" xfId="2622" xr:uid="{00000000-0005-0000-0000-00000E0E0000}"/>
    <cellStyle name="Normal 35" xfId="2623" xr:uid="{00000000-0005-0000-0000-00000F0E0000}"/>
    <cellStyle name="Normal 35 2" xfId="2624" xr:uid="{00000000-0005-0000-0000-0000100E0000}"/>
    <cellStyle name="Normal 35 2 2" xfId="4107" xr:uid="{00000000-0005-0000-0000-0000110E0000}"/>
    <cellStyle name="Normal 35 2 3" xfId="5490" xr:uid="{00000000-0005-0000-0000-0000120E0000}"/>
    <cellStyle name="Normal 350" xfId="2625" xr:uid="{00000000-0005-0000-0000-0000130E0000}"/>
    <cellStyle name="Normal 351" xfId="2626" xr:uid="{00000000-0005-0000-0000-0000140E0000}"/>
    <cellStyle name="Normal 352" xfId="2627" xr:uid="{00000000-0005-0000-0000-0000150E0000}"/>
    <cellStyle name="Normal 353" xfId="2628" xr:uid="{00000000-0005-0000-0000-0000160E0000}"/>
    <cellStyle name="Normal 354" xfId="2629" xr:uid="{00000000-0005-0000-0000-0000170E0000}"/>
    <cellStyle name="Normal 355" xfId="2630" xr:uid="{00000000-0005-0000-0000-0000180E0000}"/>
    <cellStyle name="Normal 356" xfId="2631" xr:uid="{00000000-0005-0000-0000-0000190E0000}"/>
    <cellStyle name="Normal 357" xfId="2632" xr:uid="{00000000-0005-0000-0000-00001A0E0000}"/>
    <cellStyle name="Normal 358" xfId="2633" xr:uid="{00000000-0005-0000-0000-00001B0E0000}"/>
    <cellStyle name="Normal 359" xfId="2634" xr:uid="{00000000-0005-0000-0000-00001C0E0000}"/>
    <cellStyle name="Normal 36" xfId="2635" xr:uid="{00000000-0005-0000-0000-00001D0E0000}"/>
    <cellStyle name="Normal 36 2" xfId="2636" xr:uid="{00000000-0005-0000-0000-00001E0E0000}"/>
    <cellStyle name="Normal 36 2 2" xfId="4108" xr:uid="{00000000-0005-0000-0000-00001F0E0000}"/>
    <cellStyle name="Normal 36 2 3" xfId="5489" xr:uid="{00000000-0005-0000-0000-0000200E0000}"/>
    <cellStyle name="Normal 360" xfId="2637" xr:uid="{00000000-0005-0000-0000-0000210E0000}"/>
    <cellStyle name="Normal 361" xfId="2638" xr:uid="{00000000-0005-0000-0000-0000220E0000}"/>
    <cellStyle name="Normal 362" xfId="2639" xr:uid="{00000000-0005-0000-0000-0000230E0000}"/>
    <cellStyle name="Normal 363" xfId="2640" xr:uid="{00000000-0005-0000-0000-0000240E0000}"/>
    <cellStyle name="Normal 364" xfId="2641" xr:uid="{00000000-0005-0000-0000-0000250E0000}"/>
    <cellStyle name="Normal 365" xfId="2642" xr:uid="{00000000-0005-0000-0000-0000260E0000}"/>
    <cellStyle name="Normal 366" xfId="2643" xr:uid="{00000000-0005-0000-0000-0000270E0000}"/>
    <cellStyle name="Normal 367" xfId="2644" xr:uid="{00000000-0005-0000-0000-0000280E0000}"/>
    <cellStyle name="Normal 368" xfId="2645" xr:uid="{00000000-0005-0000-0000-0000290E0000}"/>
    <cellStyle name="Normal 369" xfId="2646" xr:uid="{00000000-0005-0000-0000-00002A0E0000}"/>
    <cellStyle name="Normal 37" xfId="2647" xr:uid="{00000000-0005-0000-0000-00002B0E0000}"/>
    <cellStyle name="Normal 37 2" xfId="2648" xr:uid="{00000000-0005-0000-0000-00002C0E0000}"/>
    <cellStyle name="Normal 37 3" xfId="2649" xr:uid="{00000000-0005-0000-0000-00002D0E0000}"/>
    <cellStyle name="Normal 37 3 2" xfId="5306" xr:uid="{00000000-0005-0000-0000-00002E0E0000}"/>
    <cellStyle name="Normal 37 4" xfId="4883" xr:uid="{00000000-0005-0000-0000-00002F0E0000}"/>
    <cellStyle name="Normal 370" xfId="2650" xr:uid="{00000000-0005-0000-0000-0000300E0000}"/>
    <cellStyle name="Normal 371" xfId="2651" xr:uid="{00000000-0005-0000-0000-0000310E0000}"/>
    <cellStyle name="Normal 372" xfId="2652" xr:uid="{00000000-0005-0000-0000-0000320E0000}"/>
    <cellStyle name="Normal 373" xfId="2653" xr:uid="{00000000-0005-0000-0000-0000330E0000}"/>
    <cellStyle name="Normal 374" xfId="2654" xr:uid="{00000000-0005-0000-0000-0000340E0000}"/>
    <cellStyle name="Normal 375" xfId="2655" xr:uid="{00000000-0005-0000-0000-0000350E0000}"/>
    <cellStyle name="Normal 376" xfId="2656" xr:uid="{00000000-0005-0000-0000-0000360E0000}"/>
    <cellStyle name="Normal 377" xfId="2657" xr:uid="{00000000-0005-0000-0000-0000370E0000}"/>
    <cellStyle name="Normal 378" xfId="2658" xr:uid="{00000000-0005-0000-0000-0000380E0000}"/>
    <cellStyle name="Normal 379" xfId="2659" xr:uid="{00000000-0005-0000-0000-0000390E0000}"/>
    <cellStyle name="Normal 38" xfId="2660" xr:uid="{00000000-0005-0000-0000-00003A0E0000}"/>
    <cellStyle name="Normal 38 2" xfId="2661" xr:uid="{00000000-0005-0000-0000-00003B0E0000}"/>
    <cellStyle name="Normal 38 2 2" xfId="4109" xr:uid="{00000000-0005-0000-0000-00003C0E0000}"/>
    <cellStyle name="Normal 38 3" xfId="2662" xr:uid="{00000000-0005-0000-0000-00003D0E0000}"/>
    <cellStyle name="Normal 38 4" xfId="2663" xr:uid="{00000000-0005-0000-0000-00003E0E0000}"/>
    <cellStyle name="Normal 380" xfId="2664" xr:uid="{00000000-0005-0000-0000-00003F0E0000}"/>
    <cellStyle name="Normal 381" xfId="2665" xr:uid="{00000000-0005-0000-0000-0000400E0000}"/>
    <cellStyle name="Normal 382" xfId="2666" xr:uid="{00000000-0005-0000-0000-0000410E0000}"/>
    <cellStyle name="Normal 383" xfId="2667" xr:uid="{00000000-0005-0000-0000-0000420E0000}"/>
    <cellStyle name="Normal 384" xfId="2668" xr:uid="{00000000-0005-0000-0000-0000430E0000}"/>
    <cellStyle name="Normal 385" xfId="2669" xr:uid="{00000000-0005-0000-0000-0000440E0000}"/>
    <cellStyle name="Normal 386" xfId="2670" xr:uid="{00000000-0005-0000-0000-0000450E0000}"/>
    <cellStyle name="Normal 387" xfId="2671" xr:uid="{00000000-0005-0000-0000-0000460E0000}"/>
    <cellStyle name="Normal 388" xfId="2672" xr:uid="{00000000-0005-0000-0000-0000470E0000}"/>
    <cellStyle name="Normal 389" xfId="3569" xr:uid="{00000000-0005-0000-0000-0000480E0000}"/>
    <cellStyle name="Normal 389 2" xfId="5536" xr:uid="{00000000-0005-0000-0000-0000490E0000}"/>
    <cellStyle name="Normal 389 3" xfId="5537" xr:uid="{00000000-0005-0000-0000-00004A0E0000}"/>
    <cellStyle name="Normal 39" xfId="2673" xr:uid="{00000000-0005-0000-0000-00004B0E0000}"/>
    <cellStyle name="Normal 39 2" xfId="2674" xr:uid="{00000000-0005-0000-0000-00004C0E0000}"/>
    <cellStyle name="Normal 39 3" xfId="2675" xr:uid="{00000000-0005-0000-0000-00004D0E0000}"/>
    <cellStyle name="Normal 39 4" xfId="5538" xr:uid="{00000000-0005-0000-0000-00004E0E0000}"/>
    <cellStyle name="Normal 39 4 2" xfId="5539" xr:uid="{00000000-0005-0000-0000-00004F0E0000}"/>
    <cellStyle name="Normal 39 4 3" xfId="5540" xr:uid="{00000000-0005-0000-0000-0000500E0000}"/>
    <cellStyle name="Normal 390" xfId="3872" xr:uid="{00000000-0005-0000-0000-0000510E0000}"/>
    <cellStyle name="Normal 390 2" xfId="5541" xr:uid="{00000000-0005-0000-0000-0000520E0000}"/>
    <cellStyle name="Normal 390 3" xfId="5542" xr:uid="{00000000-0005-0000-0000-0000530E0000}"/>
    <cellStyle name="Normal 391" xfId="4584" xr:uid="{00000000-0005-0000-0000-0000540E0000}"/>
    <cellStyle name="Normal 391 2" xfId="5543" xr:uid="{00000000-0005-0000-0000-0000550E0000}"/>
    <cellStyle name="Normal 391 3" xfId="5544" xr:uid="{00000000-0005-0000-0000-0000560E0000}"/>
    <cellStyle name="Normal 392" xfId="3830" xr:uid="{00000000-0005-0000-0000-0000570E0000}"/>
    <cellStyle name="Normal 392 2" xfId="5545" xr:uid="{00000000-0005-0000-0000-0000580E0000}"/>
    <cellStyle name="Normal 392 3" xfId="5546" xr:uid="{00000000-0005-0000-0000-0000590E0000}"/>
    <cellStyle name="Normal 393" xfId="4589" xr:uid="{00000000-0005-0000-0000-00005A0E0000}"/>
    <cellStyle name="Normal 393 2" xfId="5547" xr:uid="{00000000-0005-0000-0000-00005B0E0000}"/>
    <cellStyle name="Normal 393 3" xfId="5548" xr:uid="{00000000-0005-0000-0000-00005C0E0000}"/>
    <cellStyle name="Normal 394" xfId="4590" xr:uid="{00000000-0005-0000-0000-00005D0E0000}"/>
    <cellStyle name="Normal 394 2" xfId="4592" xr:uid="{00000000-0005-0000-0000-00005E0E0000}"/>
    <cellStyle name="Normal 394 3" xfId="4598" xr:uid="{00000000-0005-0000-0000-00005F0E0000}"/>
    <cellStyle name="Normal 395" xfId="4636" xr:uid="{00000000-0005-0000-0000-0000600E0000}"/>
    <cellStyle name="Normal 395 2" xfId="5549" xr:uid="{00000000-0005-0000-0000-0000610E0000}"/>
    <cellStyle name="Normal 396" xfId="5491" xr:uid="{00000000-0005-0000-0000-0000620E0000}"/>
    <cellStyle name="Normal 397" xfId="5507" xr:uid="{00000000-0005-0000-0000-0000630E0000}"/>
    <cellStyle name="Normal 398" xfId="5518" xr:uid="{00000000-0005-0000-0000-0000640E0000}"/>
    <cellStyle name="Normal 399" xfId="5519" xr:uid="{00000000-0005-0000-0000-0000650E0000}"/>
    <cellStyle name="Normal 4" xfId="70" xr:uid="{00000000-0005-0000-0000-0000660E0000}"/>
    <cellStyle name="Normal 4 10" xfId="2676" xr:uid="{00000000-0005-0000-0000-0000670E0000}"/>
    <cellStyle name="Normal 4 10 2" xfId="4463" xr:uid="{00000000-0005-0000-0000-0000680E0000}"/>
    <cellStyle name="Normal 4 11" xfId="2677" xr:uid="{00000000-0005-0000-0000-0000690E0000}"/>
    <cellStyle name="Normal 4 11 2" xfId="4462" xr:uid="{00000000-0005-0000-0000-00006A0E0000}"/>
    <cellStyle name="Normal 4 11 3" xfId="3832" xr:uid="{00000000-0005-0000-0000-00006B0E0000}"/>
    <cellStyle name="Normal 4 12" xfId="5565" xr:uid="{00000000-0005-0000-0000-00006C0E0000}"/>
    <cellStyle name="Normal 4 2" xfId="317" xr:uid="{00000000-0005-0000-0000-00006D0E0000}"/>
    <cellStyle name="Normal 4 2 10" xfId="2678" xr:uid="{00000000-0005-0000-0000-00006E0E0000}"/>
    <cellStyle name="Normal 4 2 10 2" xfId="5134" xr:uid="{00000000-0005-0000-0000-00006F0E0000}"/>
    <cellStyle name="Normal 4 2 11" xfId="3720" xr:uid="{00000000-0005-0000-0000-0000700E0000}"/>
    <cellStyle name="Normal 4 2 12" xfId="4683" xr:uid="{00000000-0005-0000-0000-0000710E0000}"/>
    <cellStyle name="Normal 4 2 2" xfId="318" xr:uid="{00000000-0005-0000-0000-0000720E0000}"/>
    <cellStyle name="Normal 4 2 2 2" xfId="319" xr:uid="{00000000-0005-0000-0000-0000730E0000}"/>
    <cellStyle name="Normal 4 2 2 2 2" xfId="458" xr:uid="{00000000-0005-0000-0000-0000740E0000}"/>
    <cellStyle name="Normal 4 2 2 2 2 2" xfId="555" xr:uid="{00000000-0005-0000-0000-0000750E0000}"/>
    <cellStyle name="Normal 4 2 2 2 2 2 2" xfId="809" xr:uid="{00000000-0005-0000-0000-0000760E0000}"/>
    <cellStyle name="Normal 4 2 2 2 2 3" xfId="712" xr:uid="{00000000-0005-0000-0000-0000770E0000}"/>
    <cellStyle name="Normal 4 2 2 2 2 4" xfId="3833" xr:uid="{00000000-0005-0000-0000-0000780E0000}"/>
    <cellStyle name="Normal 4 2 2 2 3" xfId="554" xr:uid="{00000000-0005-0000-0000-0000790E0000}"/>
    <cellStyle name="Normal 4 2 2 2 3 2" xfId="808" xr:uid="{00000000-0005-0000-0000-00007A0E0000}"/>
    <cellStyle name="Normal 4 2 2 2 3 3" xfId="3834" xr:uid="{00000000-0005-0000-0000-00007B0E0000}"/>
    <cellStyle name="Normal 4 2 2 2 3 4" xfId="5091" xr:uid="{00000000-0005-0000-0000-00007C0E0000}"/>
    <cellStyle name="Normal 4 2 2 2 4" xfId="650" xr:uid="{00000000-0005-0000-0000-00007D0E0000}"/>
    <cellStyle name="Normal 4 2 2 2 4 2" xfId="5111" xr:uid="{00000000-0005-0000-0000-00007E0E0000}"/>
    <cellStyle name="Normal 4 2 2 2 5" xfId="3722" xr:uid="{00000000-0005-0000-0000-00007F0E0000}"/>
    <cellStyle name="Normal 4 2 2 2 6" xfId="4840" xr:uid="{00000000-0005-0000-0000-0000800E0000}"/>
    <cellStyle name="Normal 4 2 2 3" xfId="457" xr:uid="{00000000-0005-0000-0000-0000810E0000}"/>
    <cellStyle name="Normal 4 2 2 3 2" xfId="556" xr:uid="{00000000-0005-0000-0000-0000820E0000}"/>
    <cellStyle name="Normal 4 2 2 3 2 2" xfId="810" xr:uid="{00000000-0005-0000-0000-0000830E0000}"/>
    <cellStyle name="Normal 4 2 2 3 2 2 2" xfId="5438" xr:uid="{00000000-0005-0000-0000-0000840E0000}"/>
    <cellStyle name="Normal 4 2 2 3 2 3" xfId="5015" xr:uid="{00000000-0005-0000-0000-0000850E0000}"/>
    <cellStyle name="Normal 4 2 2 3 3" xfId="711" xr:uid="{00000000-0005-0000-0000-0000860E0000}"/>
    <cellStyle name="Normal 4 2 2 3 3 2" xfId="5081" xr:uid="{00000000-0005-0000-0000-0000870E0000}"/>
    <cellStyle name="Normal 4 2 2 3 4" xfId="2679" xr:uid="{00000000-0005-0000-0000-0000880E0000}"/>
    <cellStyle name="Normal 4 2 2 3 4 2" xfId="5238" xr:uid="{00000000-0005-0000-0000-0000890E0000}"/>
    <cellStyle name="Normal 4 2 2 3 5" xfId="3723" xr:uid="{00000000-0005-0000-0000-00008A0E0000}"/>
    <cellStyle name="Normal 4 2 2 3 6" xfId="4812" xr:uid="{00000000-0005-0000-0000-00008B0E0000}"/>
    <cellStyle name="Normal 4 2 2 4" xfId="553" xr:uid="{00000000-0005-0000-0000-00008C0E0000}"/>
    <cellStyle name="Normal 4 2 2 4 2" xfId="807" xr:uid="{00000000-0005-0000-0000-00008D0E0000}"/>
    <cellStyle name="Normal 4 2 2 4 2 2" xfId="2680" xr:uid="{00000000-0005-0000-0000-00008E0E0000}"/>
    <cellStyle name="Normal 4 2 2 4 2 2 2" xfId="5439" xr:uid="{00000000-0005-0000-0000-00008F0E0000}"/>
    <cellStyle name="Normal 4 2 2 4 2 3" xfId="5016" xr:uid="{00000000-0005-0000-0000-0000900E0000}"/>
    <cellStyle name="Normal 4 2 2 4 3" xfId="2681" xr:uid="{00000000-0005-0000-0000-0000910E0000}"/>
    <cellStyle name="Normal 4 2 2 4 3 2" xfId="5198" xr:uid="{00000000-0005-0000-0000-0000920E0000}"/>
    <cellStyle name="Normal 4 2 2 4 4" xfId="3835" xr:uid="{00000000-0005-0000-0000-0000930E0000}"/>
    <cellStyle name="Normal 4 2 2 4 5" xfId="4771" xr:uid="{00000000-0005-0000-0000-0000940E0000}"/>
    <cellStyle name="Normal 4 2 2 5" xfId="649" xr:uid="{00000000-0005-0000-0000-0000950E0000}"/>
    <cellStyle name="Normal 4 2 2 5 2" xfId="5124" xr:uid="{00000000-0005-0000-0000-0000960E0000}"/>
    <cellStyle name="Normal 4 2 2 6" xfId="3721" xr:uid="{00000000-0005-0000-0000-0000970E0000}"/>
    <cellStyle name="Normal 4 2 2 7" xfId="4721" xr:uid="{00000000-0005-0000-0000-0000980E0000}"/>
    <cellStyle name="Normal 4 2 3" xfId="320" xr:uid="{00000000-0005-0000-0000-0000990E0000}"/>
    <cellStyle name="Normal 4 2 3 2" xfId="459" xr:uid="{00000000-0005-0000-0000-00009A0E0000}"/>
    <cellStyle name="Normal 4 2 3 2 2" xfId="558" xr:uid="{00000000-0005-0000-0000-00009B0E0000}"/>
    <cellStyle name="Normal 4 2 3 2 2 2" xfId="812" xr:uid="{00000000-0005-0000-0000-00009C0E0000}"/>
    <cellStyle name="Normal 4 2 3 2 2 2 2" xfId="5441" xr:uid="{00000000-0005-0000-0000-00009D0E0000}"/>
    <cellStyle name="Normal 4 2 3 2 2 3" xfId="5018" xr:uid="{00000000-0005-0000-0000-00009E0E0000}"/>
    <cellStyle name="Normal 4 2 3 2 3" xfId="713" xr:uid="{00000000-0005-0000-0000-00009F0E0000}"/>
    <cellStyle name="Normal 4 2 3 2 3 2" xfId="5092" xr:uid="{00000000-0005-0000-0000-0000A00E0000}"/>
    <cellStyle name="Normal 4 2 3 2 4" xfId="2682" xr:uid="{00000000-0005-0000-0000-0000A10E0000}"/>
    <cellStyle name="Normal 4 2 3 2 4 2" xfId="5278" xr:uid="{00000000-0005-0000-0000-0000A20E0000}"/>
    <cellStyle name="Normal 4 2 3 2 5" xfId="3836" xr:uid="{00000000-0005-0000-0000-0000A30E0000}"/>
    <cellStyle name="Normal 4 2 3 2 6" xfId="4855" xr:uid="{00000000-0005-0000-0000-0000A40E0000}"/>
    <cellStyle name="Normal 4 2 3 3" xfId="557" xr:uid="{00000000-0005-0000-0000-0000A50E0000}"/>
    <cellStyle name="Normal 4 2 3 3 2" xfId="811" xr:uid="{00000000-0005-0000-0000-0000A60E0000}"/>
    <cellStyle name="Normal 4 2 3 3 2 2" xfId="2683" xr:uid="{00000000-0005-0000-0000-0000A70E0000}"/>
    <cellStyle name="Normal 4 2 3 3 2 2 2" xfId="5442" xr:uid="{00000000-0005-0000-0000-0000A80E0000}"/>
    <cellStyle name="Normal 4 2 3 3 2 3" xfId="5019" xr:uid="{00000000-0005-0000-0000-0000A90E0000}"/>
    <cellStyle name="Normal 4 2 3 3 3" xfId="2684" xr:uid="{00000000-0005-0000-0000-0000AA0E0000}"/>
    <cellStyle name="Normal 4 2 3 3 3 2" xfId="5263" xr:uid="{00000000-0005-0000-0000-0000AB0E0000}"/>
    <cellStyle name="Normal 4 2 3 3 4" xfId="3837" xr:uid="{00000000-0005-0000-0000-0000AC0E0000}"/>
    <cellStyle name="Normal 4 2 3 3 5" xfId="4839" xr:uid="{00000000-0005-0000-0000-0000AD0E0000}"/>
    <cellStyle name="Normal 4 2 3 4" xfId="651" xr:uid="{00000000-0005-0000-0000-0000AE0E0000}"/>
    <cellStyle name="Normal 4 2 3 4 2" xfId="2685" xr:uid="{00000000-0005-0000-0000-0000AF0E0000}"/>
    <cellStyle name="Normal 4 2 3 4 2 2" xfId="5440" xr:uid="{00000000-0005-0000-0000-0000B00E0000}"/>
    <cellStyle name="Normal 4 2 3 4 3" xfId="5017" xr:uid="{00000000-0005-0000-0000-0000B10E0000}"/>
    <cellStyle name="Normal 4 2 3 5" xfId="2686" xr:uid="{00000000-0005-0000-0000-0000B20E0000}"/>
    <cellStyle name="Normal 4 2 3 6" xfId="2687" xr:uid="{00000000-0005-0000-0000-0000B30E0000}"/>
    <cellStyle name="Normal 4 2 3 6 2" xfId="5140" xr:uid="{00000000-0005-0000-0000-0000B40E0000}"/>
    <cellStyle name="Normal 4 2 3 7" xfId="4692" xr:uid="{00000000-0005-0000-0000-0000B50E0000}"/>
    <cellStyle name="Normal 4 2 4" xfId="456" xr:uid="{00000000-0005-0000-0000-0000B60E0000}"/>
    <cellStyle name="Normal 4 2 4 2" xfId="559" xr:uid="{00000000-0005-0000-0000-0000B70E0000}"/>
    <cellStyle name="Normal 4 2 4 2 2" xfId="813" xr:uid="{00000000-0005-0000-0000-0000B80E0000}"/>
    <cellStyle name="Normal 4 2 4 2 2 2" xfId="5443" xr:uid="{00000000-0005-0000-0000-0000B90E0000}"/>
    <cellStyle name="Normal 4 2 4 2 3" xfId="5020" xr:uid="{00000000-0005-0000-0000-0000BA0E0000}"/>
    <cellStyle name="Normal 4 2 4 3" xfId="710" xr:uid="{00000000-0005-0000-0000-0000BB0E0000}"/>
    <cellStyle name="Normal 4 2 4 3 2" xfId="5088" xr:uid="{00000000-0005-0000-0000-0000BC0E0000}"/>
    <cellStyle name="Normal 4 2 4 4" xfId="2688" xr:uid="{00000000-0005-0000-0000-0000BD0E0000}"/>
    <cellStyle name="Normal 4 2 4 4 2" xfId="5206" xr:uid="{00000000-0005-0000-0000-0000BE0E0000}"/>
    <cellStyle name="Normal 4 2 4 5" xfId="3724" xr:uid="{00000000-0005-0000-0000-0000BF0E0000}"/>
    <cellStyle name="Normal 4 2 4 6" xfId="4780" xr:uid="{00000000-0005-0000-0000-0000C00E0000}"/>
    <cellStyle name="Normal 4 2 5" xfId="552" xr:uid="{00000000-0005-0000-0000-0000C10E0000}"/>
    <cellStyle name="Normal 4 2 5 2" xfId="806" xr:uid="{00000000-0005-0000-0000-0000C20E0000}"/>
    <cellStyle name="Normal 4 2 5 2 2" xfId="2689" xr:uid="{00000000-0005-0000-0000-0000C30E0000}"/>
    <cellStyle name="Normal 4 2 5 2 2 2" xfId="5444" xr:uid="{00000000-0005-0000-0000-0000C40E0000}"/>
    <cellStyle name="Normal 4 2 5 2 3" xfId="5021" xr:uid="{00000000-0005-0000-0000-0000C50E0000}"/>
    <cellStyle name="Normal 4 2 5 3" xfId="2690" xr:uid="{00000000-0005-0000-0000-0000C60E0000}"/>
    <cellStyle name="Normal 4 2 5 3 2" xfId="5270" xr:uid="{00000000-0005-0000-0000-0000C70E0000}"/>
    <cellStyle name="Normal 4 2 5 4" xfId="3838" xr:uid="{00000000-0005-0000-0000-0000C80E0000}"/>
    <cellStyle name="Normal 4 2 5 5" xfId="4847" xr:uid="{00000000-0005-0000-0000-0000C90E0000}"/>
    <cellStyle name="Normal 4 2 6" xfId="648" xr:uid="{00000000-0005-0000-0000-0000CA0E0000}"/>
    <cellStyle name="Normal 4 2 6 2" xfId="2691" xr:uid="{00000000-0005-0000-0000-0000CB0E0000}"/>
    <cellStyle name="Normal 4 2 6 2 2" xfId="2692" xr:uid="{00000000-0005-0000-0000-0000CC0E0000}"/>
    <cellStyle name="Normal 4 2 6 2 2 2" xfId="5445" xr:uid="{00000000-0005-0000-0000-0000CD0E0000}"/>
    <cellStyle name="Normal 4 2 6 2 3" xfId="5022" xr:uid="{00000000-0005-0000-0000-0000CE0E0000}"/>
    <cellStyle name="Normal 4 2 6 3" xfId="2693" xr:uid="{00000000-0005-0000-0000-0000CF0E0000}"/>
    <cellStyle name="Normal 4 2 6 3 2" xfId="5272" xr:uid="{00000000-0005-0000-0000-0000D00E0000}"/>
    <cellStyle name="Normal 4 2 6 4" xfId="4849" xr:uid="{00000000-0005-0000-0000-0000D10E0000}"/>
    <cellStyle name="Normal 4 2 7" xfId="2694" xr:uid="{00000000-0005-0000-0000-0000D20E0000}"/>
    <cellStyle name="Normal 4 2 7 2" xfId="2695" xr:uid="{00000000-0005-0000-0000-0000D30E0000}"/>
    <cellStyle name="Normal 4 2 7 2 2" xfId="2696" xr:uid="{00000000-0005-0000-0000-0000D40E0000}"/>
    <cellStyle name="Normal 4 2 7 2 2 2" xfId="5446" xr:uid="{00000000-0005-0000-0000-0000D50E0000}"/>
    <cellStyle name="Normal 4 2 7 2 3" xfId="5023" xr:uid="{00000000-0005-0000-0000-0000D60E0000}"/>
    <cellStyle name="Normal 4 2 7 3" xfId="2697" xr:uid="{00000000-0005-0000-0000-0000D70E0000}"/>
    <cellStyle name="Normal 4 2 7 3 2" xfId="5166" xr:uid="{00000000-0005-0000-0000-0000D80E0000}"/>
    <cellStyle name="Normal 4 2 7 4" xfId="4736" xr:uid="{00000000-0005-0000-0000-0000D90E0000}"/>
    <cellStyle name="Normal 4 2 8" xfId="2698" xr:uid="{00000000-0005-0000-0000-0000DA0E0000}"/>
    <cellStyle name="Normal 4 2 8 2" xfId="2699" xr:uid="{00000000-0005-0000-0000-0000DB0E0000}"/>
    <cellStyle name="Normal 4 2 8 2 2" xfId="5437" xr:uid="{00000000-0005-0000-0000-0000DC0E0000}"/>
    <cellStyle name="Normal 4 2 8 3" xfId="5014" xr:uid="{00000000-0005-0000-0000-0000DD0E0000}"/>
    <cellStyle name="Normal 4 2 9" xfId="2700" xr:uid="{00000000-0005-0000-0000-0000DE0E0000}"/>
    <cellStyle name="Normal 4 2_Federal Interest Calculation Su" xfId="2701" xr:uid="{00000000-0005-0000-0000-0000DF0E0000}"/>
    <cellStyle name="Normal 4 3" xfId="321" xr:uid="{00000000-0005-0000-0000-0000E00E0000}"/>
    <cellStyle name="Normal 4 3 2" xfId="322" xr:uid="{00000000-0005-0000-0000-0000E10E0000}"/>
    <cellStyle name="Normal 4 3 2 2" xfId="461" xr:uid="{00000000-0005-0000-0000-0000E20E0000}"/>
    <cellStyle name="Normal 4 3 2 2 2" xfId="562" xr:uid="{00000000-0005-0000-0000-0000E30E0000}"/>
    <cellStyle name="Normal 4 3 2 2 2 2" xfId="816" xr:uid="{00000000-0005-0000-0000-0000E40E0000}"/>
    <cellStyle name="Normal 4 3 2 2 3" xfId="715" xr:uid="{00000000-0005-0000-0000-0000E50E0000}"/>
    <cellStyle name="Normal 4 3 2 2 4" xfId="3839" xr:uid="{00000000-0005-0000-0000-0000E60E0000}"/>
    <cellStyle name="Normal 4 3 2 3" xfId="561" xr:uid="{00000000-0005-0000-0000-0000E70E0000}"/>
    <cellStyle name="Normal 4 3 2 3 2" xfId="815" xr:uid="{00000000-0005-0000-0000-0000E80E0000}"/>
    <cellStyle name="Normal 4 3 2 3 3" xfId="3840" xr:uid="{00000000-0005-0000-0000-0000E90E0000}"/>
    <cellStyle name="Normal 4 3 2 3 4" xfId="5114" xr:uid="{00000000-0005-0000-0000-0000EA0E0000}"/>
    <cellStyle name="Normal 4 3 2 4" xfId="653" xr:uid="{00000000-0005-0000-0000-0000EB0E0000}"/>
    <cellStyle name="Normal 4 3 2 5" xfId="3726" xr:uid="{00000000-0005-0000-0000-0000EC0E0000}"/>
    <cellStyle name="Normal 4 3 3" xfId="460" xr:uid="{00000000-0005-0000-0000-0000ED0E0000}"/>
    <cellStyle name="Normal 4 3 3 2" xfId="563" xr:uid="{00000000-0005-0000-0000-0000EE0E0000}"/>
    <cellStyle name="Normal 4 3 3 2 2" xfId="817" xr:uid="{00000000-0005-0000-0000-0000EF0E0000}"/>
    <cellStyle name="Normal 4 3 3 3" xfId="714" xr:uid="{00000000-0005-0000-0000-0000F00E0000}"/>
    <cellStyle name="Normal 4 3 3 4" xfId="3727" xr:uid="{00000000-0005-0000-0000-0000F10E0000}"/>
    <cellStyle name="Normal 4 3 4" xfId="560" xr:uid="{00000000-0005-0000-0000-0000F20E0000}"/>
    <cellStyle name="Normal 4 3 4 2" xfId="814" xr:uid="{00000000-0005-0000-0000-0000F30E0000}"/>
    <cellStyle name="Normal 4 3 4 3" xfId="3728" xr:uid="{00000000-0005-0000-0000-0000F40E0000}"/>
    <cellStyle name="Normal 4 3 5" xfId="652" xr:uid="{00000000-0005-0000-0000-0000F50E0000}"/>
    <cellStyle name="Normal 4 3 5 2" xfId="3841" xr:uid="{00000000-0005-0000-0000-0000F60E0000}"/>
    <cellStyle name="Normal 4 3 5 3" xfId="5106" xr:uid="{00000000-0005-0000-0000-0000F70E0000}"/>
    <cellStyle name="Normal 4 3 6" xfId="2702" xr:uid="{00000000-0005-0000-0000-0000F80E0000}"/>
    <cellStyle name="Normal 4 3 6 2" xfId="3842" xr:uid="{00000000-0005-0000-0000-0000F90E0000}"/>
    <cellStyle name="Normal 4 3 6 3" xfId="5072" xr:uid="{00000000-0005-0000-0000-0000FA0E0000}"/>
    <cellStyle name="Normal 4 3 7" xfId="2703" xr:uid="{00000000-0005-0000-0000-0000FB0E0000}"/>
    <cellStyle name="Normal 4 3 8" xfId="3725" xr:uid="{00000000-0005-0000-0000-0000FC0E0000}"/>
    <cellStyle name="Normal 4 3 9" xfId="5056" xr:uid="{00000000-0005-0000-0000-0000FD0E0000}"/>
    <cellStyle name="Normal 4 4" xfId="323" xr:uid="{00000000-0005-0000-0000-0000FE0E0000}"/>
    <cellStyle name="Normal 4 4 2" xfId="462" xr:uid="{00000000-0005-0000-0000-0000FF0E0000}"/>
    <cellStyle name="Normal 4 4 2 2" xfId="565" xr:uid="{00000000-0005-0000-0000-0000000F0000}"/>
    <cellStyle name="Normal 4 4 2 2 2" xfId="819" xr:uid="{00000000-0005-0000-0000-0000010F0000}"/>
    <cellStyle name="Normal 4 4 2 2 3" xfId="3843" xr:uid="{00000000-0005-0000-0000-0000020F0000}"/>
    <cellStyle name="Normal 4 4 2 3" xfId="716" xr:uid="{00000000-0005-0000-0000-0000030F0000}"/>
    <cellStyle name="Normal 4 4 2 3 2" xfId="3844" xr:uid="{00000000-0005-0000-0000-0000040F0000}"/>
    <cellStyle name="Normal 4 4 2 3 3" xfId="5110" xr:uid="{00000000-0005-0000-0000-0000050F0000}"/>
    <cellStyle name="Normal 4 4 2 4" xfId="3730" xr:uid="{00000000-0005-0000-0000-0000060F0000}"/>
    <cellStyle name="Normal 4 4 3" xfId="564" xr:uid="{00000000-0005-0000-0000-0000070F0000}"/>
    <cellStyle name="Normal 4 4 3 2" xfId="818" xr:uid="{00000000-0005-0000-0000-0000080F0000}"/>
    <cellStyle name="Normal 4 4 3 2 2" xfId="4110" xr:uid="{00000000-0005-0000-0000-0000090F0000}"/>
    <cellStyle name="Normal 4 4 3 3" xfId="3731" xr:uid="{00000000-0005-0000-0000-00000A0F0000}"/>
    <cellStyle name="Normal 4 4 4" xfId="654" xr:uid="{00000000-0005-0000-0000-00000B0F0000}"/>
    <cellStyle name="Normal 4 4 4 2" xfId="3845" xr:uid="{00000000-0005-0000-0000-00000C0F0000}"/>
    <cellStyle name="Normal 4 4 4 3" xfId="5096" xr:uid="{00000000-0005-0000-0000-00000D0F0000}"/>
    <cellStyle name="Normal 4 4 5" xfId="3729" xr:uid="{00000000-0005-0000-0000-00000E0F0000}"/>
    <cellStyle name="Normal 4 5" xfId="2704" xr:uid="{00000000-0005-0000-0000-00000F0F0000}"/>
    <cellStyle name="Normal 4 5 2" xfId="4111" xr:uid="{00000000-0005-0000-0000-0000100F0000}"/>
    <cellStyle name="Normal 4 6" xfId="2705" xr:uid="{00000000-0005-0000-0000-0000110F0000}"/>
    <cellStyle name="Normal 4 6 2" xfId="3732" xr:uid="{00000000-0005-0000-0000-0000120F0000}"/>
    <cellStyle name="Normal 4 6 3" xfId="4112" xr:uid="{00000000-0005-0000-0000-0000130F0000}"/>
    <cellStyle name="Normal 4 7" xfId="2706" xr:uid="{00000000-0005-0000-0000-0000140F0000}"/>
    <cellStyle name="Normal 4 7 2" xfId="3733" xr:uid="{00000000-0005-0000-0000-0000150F0000}"/>
    <cellStyle name="Normal 4 7 3" xfId="5120" xr:uid="{00000000-0005-0000-0000-0000160F0000}"/>
    <cellStyle name="Normal 4 8" xfId="2707" xr:uid="{00000000-0005-0000-0000-0000170F0000}"/>
    <cellStyle name="Normal 4 8 2" xfId="4464" xr:uid="{00000000-0005-0000-0000-0000180F0000}"/>
    <cellStyle name="Normal 4 9" xfId="2708" xr:uid="{00000000-0005-0000-0000-0000190F0000}"/>
    <cellStyle name="Normal 4 9 2" xfId="4465" xr:uid="{00000000-0005-0000-0000-00001A0F0000}"/>
    <cellStyle name="Normal 4_710 CFS; full sustain + full expand (static-like)" xfId="2709" xr:uid="{00000000-0005-0000-0000-00001B0F0000}"/>
    <cellStyle name="Normal 40" xfId="2710" xr:uid="{00000000-0005-0000-0000-00001C0F0000}"/>
    <cellStyle name="Normal 40 2" xfId="2711" xr:uid="{00000000-0005-0000-0000-00001D0F0000}"/>
    <cellStyle name="Normal 400" xfId="5528" xr:uid="{00000000-0005-0000-0000-00001E0F0000}"/>
    <cellStyle name="Normal 401" xfId="5529" xr:uid="{00000000-0005-0000-0000-00001F0F0000}"/>
    <cellStyle name="Normal 402" xfId="5550" xr:uid="{00000000-0005-0000-0000-0000200F0000}"/>
    <cellStyle name="Normal 403" xfId="5553" xr:uid="{00000000-0005-0000-0000-0000210F0000}"/>
    <cellStyle name="Normal 404" xfId="5556" xr:uid="{00000000-0005-0000-0000-0000220F0000}"/>
    <cellStyle name="Normal 405" xfId="5557" xr:uid="{00000000-0005-0000-0000-0000230F0000}"/>
    <cellStyle name="Normal 406" xfId="5559" xr:uid="{00000000-0005-0000-0000-0000240F0000}"/>
    <cellStyle name="Normal 407" xfId="5562" xr:uid="{00000000-0005-0000-0000-0000250F0000}"/>
    <cellStyle name="Normal 408" xfId="5567" xr:uid="{00000000-0005-0000-0000-0000260F0000}"/>
    <cellStyle name="Normal 409" xfId="5570" xr:uid="{00000000-0005-0000-0000-0000270F0000}"/>
    <cellStyle name="Normal 41" xfId="2712" xr:uid="{00000000-0005-0000-0000-0000280F0000}"/>
    <cellStyle name="Normal 41 2" xfId="2713" xr:uid="{00000000-0005-0000-0000-0000290F0000}"/>
    <cellStyle name="Normal 410" xfId="5573" xr:uid="{00000000-0005-0000-0000-00002A0F0000}"/>
    <cellStyle name="Normal 411" xfId="5574" xr:uid="{00000000-0005-0000-0000-00002B0F0000}"/>
    <cellStyle name="Normal 412" xfId="5577" xr:uid="{00000000-0005-0000-0000-00002C0F0000}"/>
    <cellStyle name="Normal 413" xfId="5580" xr:uid="{00000000-0005-0000-0000-00002D0F0000}"/>
    <cellStyle name="Normal 414" xfId="5583" xr:uid="{00000000-0005-0000-0000-00002E0F0000}"/>
    <cellStyle name="Normal 415" xfId="5585" xr:uid="{00000000-0005-0000-0000-00002F0F0000}"/>
    <cellStyle name="Normal 416" xfId="5588" xr:uid="{00000000-0005-0000-0000-0000300F0000}"/>
    <cellStyle name="Normal 417" xfId="5591" xr:uid="{00000000-0005-0000-0000-0000310F0000}"/>
    <cellStyle name="Normal 418" xfId="5593" xr:uid="{00000000-0005-0000-0000-0000320F0000}"/>
    <cellStyle name="Normal 419" xfId="5596" xr:uid="{00000000-0005-0000-0000-0000330F0000}"/>
    <cellStyle name="Normal 42" xfId="2714" xr:uid="{00000000-0005-0000-0000-0000340F0000}"/>
    <cellStyle name="Normal 42 2" xfId="2715" xr:uid="{00000000-0005-0000-0000-0000350F0000}"/>
    <cellStyle name="Normal 420" xfId="5597" xr:uid="{00000000-0005-0000-0000-0000360F0000}"/>
    <cellStyle name="Normal 421" xfId="5599" xr:uid="{00000000-0005-0000-0000-0000370F0000}"/>
    <cellStyle name="Normal 422" xfId="5602" xr:uid="{00000000-0005-0000-0000-0000380F0000}"/>
    <cellStyle name="Normal 423" xfId="5606" xr:uid="{00000000-0005-0000-0000-0000390F0000}"/>
    <cellStyle name="Normal 424" xfId="5610" xr:uid="{00000000-0005-0000-0000-00003A0F0000}"/>
    <cellStyle name="Normal 425" xfId="5613" xr:uid="{00000000-0005-0000-0000-00003B0F0000}"/>
    <cellStyle name="Normal 426" xfId="5616" xr:uid="{AFAC92CA-5D32-4834-8AF7-DB93580D2BE6}"/>
    <cellStyle name="Normal 427" xfId="5618" xr:uid="{80EFEB65-6A0C-4B69-AC29-BB354C953AA3}"/>
    <cellStyle name="Normal 428" xfId="5621" xr:uid="{40C98885-DAE2-4DB4-AB5C-24174E683753}"/>
    <cellStyle name="Normal 429" xfId="5625" xr:uid="{BCD2FB70-1A0E-4AA1-A290-F711953FA6E2}"/>
    <cellStyle name="Normal 43" xfId="2716" xr:uid="{00000000-0005-0000-0000-00003C0F0000}"/>
    <cellStyle name="Normal 43 2" xfId="2717" xr:uid="{00000000-0005-0000-0000-00003D0F0000}"/>
    <cellStyle name="Normal 430" xfId="5629" xr:uid="{003C66C0-C7F9-4AC4-BE49-9B915B5EC123}"/>
    <cellStyle name="Normal 431" xfId="5633" xr:uid="{60FA028A-2D3D-4C47-92E8-45F5EBEB8B10}"/>
    <cellStyle name="Normal 432" xfId="5636" xr:uid="{D3975D6E-CC17-449C-9A5C-6CBE1E9C6F74}"/>
    <cellStyle name="Normal 44" xfId="2718" xr:uid="{00000000-0005-0000-0000-00003E0F0000}"/>
    <cellStyle name="Normal 44 2" xfId="2719" xr:uid="{00000000-0005-0000-0000-00003F0F0000}"/>
    <cellStyle name="Normal 45" xfId="2720" xr:uid="{00000000-0005-0000-0000-0000400F0000}"/>
    <cellStyle name="Normal 45 2" xfId="2721" xr:uid="{00000000-0005-0000-0000-0000410F0000}"/>
    <cellStyle name="Normal 46" xfId="2722" xr:uid="{00000000-0005-0000-0000-0000420F0000}"/>
    <cellStyle name="Normal 46 2" xfId="2723" xr:uid="{00000000-0005-0000-0000-0000430F0000}"/>
    <cellStyle name="Normal 47" xfId="2724" xr:uid="{00000000-0005-0000-0000-0000440F0000}"/>
    <cellStyle name="Normal 47 2" xfId="2725" xr:uid="{00000000-0005-0000-0000-0000450F0000}"/>
    <cellStyle name="Normal 47 3" xfId="2726" xr:uid="{00000000-0005-0000-0000-0000460F0000}"/>
    <cellStyle name="Normal 47 3 2" xfId="5480" xr:uid="{00000000-0005-0000-0000-0000470F0000}"/>
    <cellStyle name="Normal 47 4" xfId="5058" xr:uid="{00000000-0005-0000-0000-0000480F0000}"/>
    <cellStyle name="Normal 48" xfId="2727" xr:uid="{00000000-0005-0000-0000-0000490F0000}"/>
    <cellStyle name="Normal 48 2" xfId="2728" xr:uid="{00000000-0005-0000-0000-00004A0F0000}"/>
    <cellStyle name="Normal 49" xfId="2729" xr:uid="{00000000-0005-0000-0000-00004B0F0000}"/>
    <cellStyle name="Normal 49 2" xfId="2730" xr:uid="{00000000-0005-0000-0000-00004C0F0000}"/>
    <cellStyle name="Normal 49 3" xfId="2731" xr:uid="{00000000-0005-0000-0000-00004D0F0000}"/>
    <cellStyle name="Normal 49 3 2" xfId="2732" xr:uid="{00000000-0005-0000-0000-00004E0F0000}"/>
    <cellStyle name="Normal 49 3 3" xfId="2733" xr:uid="{00000000-0005-0000-0000-00004F0F0000}"/>
    <cellStyle name="Normal 49 3 3 2" xfId="3848" xr:uid="{00000000-0005-0000-0000-0000500F0000}"/>
    <cellStyle name="Normal 49 3 3 3" xfId="5102" xr:uid="{00000000-0005-0000-0000-0000510F0000}"/>
    <cellStyle name="Normal 49 4" xfId="2734" xr:uid="{00000000-0005-0000-0000-0000520F0000}"/>
    <cellStyle name="Normal 49 5" xfId="3734" xr:uid="{00000000-0005-0000-0000-0000530F0000}"/>
    <cellStyle name="Normal 5" xfId="324" xr:uid="{00000000-0005-0000-0000-0000540F0000}"/>
    <cellStyle name="Normal 5 2" xfId="325" xr:uid="{00000000-0005-0000-0000-0000550F0000}"/>
    <cellStyle name="Normal 5 2 10" xfId="2735" xr:uid="{00000000-0005-0000-0000-0000560F0000}"/>
    <cellStyle name="Normal 5 2 10 2" xfId="5135" xr:uid="{00000000-0005-0000-0000-0000570F0000}"/>
    <cellStyle name="Normal 5 2 11" xfId="4684" xr:uid="{00000000-0005-0000-0000-0000580F0000}"/>
    <cellStyle name="Normal 5 2 12" xfId="5516" xr:uid="{00000000-0005-0000-0000-0000590F0000}"/>
    <cellStyle name="Normal 5 2 13" xfId="5525" xr:uid="{00000000-0005-0000-0000-00005A0F0000}"/>
    <cellStyle name="Normal 5 2 2" xfId="326" xr:uid="{00000000-0005-0000-0000-00005B0F0000}"/>
    <cellStyle name="Normal 5 2 2 2" xfId="463" xr:uid="{00000000-0005-0000-0000-00005C0F0000}"/>
    <cellStyle name="Normal 5 2 2 2 2" xfId="567" xr:uid="{00000000-0005-0000-0000-00005D0F0000}"/>
    <cellStyle name="Normal 5 2 2 2 2 2" xfId="821" xr:uid="{00000000-0005-0000-0000-00005E0F0000}"/>
    <cellStyle name="Normal 5 2 2 2 2 2 2" xfId="5449" xr:uid="{00000000-0005-0000-0000-00005F0F0000}"/>
    <cellStyle name="Normal 5 2 2 2 2 3" xfId="5026" xr:uid="{00000000-0005-0000-0000-0000600F0000}"/>
    <cellStyle name="Normal 5 2 2 2 3" xfId="717" xr:uid="{00000000-0005-0000-0000-0000610F0000}"/>
    <cellStyle name="Normal 5 2 2 2 3 2" xfId="5239" xr:uid="{00000000-0005-0000-0000-0000620F0000}"/>
    <cellStyle name="Normal 5 2 2 2 4" xfId="3849" xr:uid="{00000000-0005-0000-0000-0000630F0000}"/>
    <cellStyle name="Normal 5 2 2 2 5" xfId="4813" xr:uid="{00000000-0005-0000-0000-0000640F0000}"/>
    <cellStyle name="Normal 5 2 2 3" xfId="566" xr:uid="{00000000-0005-0000-0000-0000650F0000}"/>
    <cellStyle name="Normal 5 2 2 3 2" xfId="820" xr:uid="{00000000-0005-0000-0000-0000660F0000}"/>
    <cellStyle name="Normal 5 2 2 3 2 2" xfId="2736" xr:uid="{00000000-0005-0000-0000-0000670F0000}"/>
    <cellStyle name="Normal 5 2 2 3 2 2 2" xfId="5450" xr:uid="{00000000-0005-0000-0000-0000680F0000}"/>
    <cellStyle name="Normal 5 2 2 3 2 3" xfId="5027" xr:uid="{00000000-0005-0000-0000-0000690F0000}"/>
    <cellStyle name="Normal 5 2 2 3 3" xfId="2737" xr:uid="{00000000-0005-0000-0000-00006A0F0000}"/>
    <cellStyle name="Normal 5 2 2 3 3 2" xfId="5279" xr:uid="{00000000-0005-0000-0000-00006B0F0000}"/>
    <cellStyle name="Normal 5 2 2 3 4" xfId="4115" xr:uid="{00000000-0005-0000-0000-00006C0F0000}"/>
    <cellStyle name="Normal 5 2 2 3 5" xfId="4856" xr:uid="{00000000-0005-0000-0000-00006D0F0000}"/>
    <cellStyle name="Normal 5 2 2 4" xfId="655" xr:uid="{00000000-0005-0000-0000-00006E0F0000}"/>
    <cellStyle name="Normal 5 2 2 4 2" xfId="2738" xr:uid="{00000000-0005-0000-0000-00006F0F0000}"/>
    <cellStyle name="Normal 5 2 2 4 2 2" xfId="2739" xr:uid="{00000000-0005-0000-0000-0000700F0000}"/>
    <cellStyle name="Normal 5 2 2 4 2 2 2" xfId="5451" xr:uid="{00000000-0005-0000-0000-0000710F0000}"/>
    <cellStyle name="Normal 5 2 2 4 2 3" xfId="5028" xr:uid="{00000000-0005-0000-0000-0000720F0000}"/>
    <cellStyle name="Normal 5 2 2 4 3" xfId="2740" xr:uid="{00000000-0005-0000-0000-0000730F0000}"/>
    <cellStyle name="Normal 5 2 2 4 3 2" xfId="5199" xr:uid="{00000000-0005-0000-0000-0000740F0000}"/>
    <cellStyle name="Normal 5 2 2 4 4" xfId="4772" xr:uid="{00000000-0005-0000-0000-0000750F0000}"/>
    <cellStyle name="Normal 5 2 2 5" xfId="2741" xr:uid="{00000000-0005-0000-0000-0000760F0000}"/>
    <cellStyle name="Normal 5 2 2 5 2" xfId="2742" xr:uid="{00000000-0005-0000-0000-0000770F0000}"/>
    <cellStyle name="Normal 5 2 2 5 2 2" xfId="5448" xr:uid="{00000000-0005-0000-0000-0000780F0000}"/>
    <cellStyle name="Normal 5 2 2 5 3" xfId="5025" xr:uid="{00000000-0005-0000-0000-0000790F0000}"/>
    <cellStyle name="Normal 5 2 2 6" xfId="2743" xr:uid="{00000000-0005-0000-0000-00007A0F0000}"/>
    <cellStyle name="Normal 5 2 2 7" xfId="2744" xr:uid="{00000000-0005-0000-0000-00007B0F0000}"/>
    <cellStyle name="Normal 5 2 2 7 2" xfId="5141" xr:uid="{00000000-0005-0000-0000-00007C0F0000}"/>
    <cellStyle name="Normal 5 2 2 8" xfId="3735" xr:uid="{00000000-0005-0000-0000-00007D0F0000}"/>
    <cellStyle name="Normal 5 2 2 9" xfId="4693" xr:uid="{00000000-0005-0000-0000-00007E0F0000}"/>
    <cellStyle name="Normal 5 2 3" xfId="327" xr:uid="{00000000-0005-0000-0000-00007F0F0000}"/>
    <cellStyle name="Normal 5 2 3 2" xfId="464" xr:uid="{00000000-0005-0000-0000-0000800F0000}"/>
    <cellStyle name="Normal 5 2 3 2 2" xfId="569" xr:uid="{00000000-0005-0000-0000-0000810F0000}"/>
    <cellStyle name="Normal 5 2 3 2 2 2" xfId="823" xr:uid="{00000000-0005-0000-0000-0000820F0000}"/>
    <cellStyle name="Normal 5 2 3 2 2 2 2" xfId="5453" xr:uid="{00000000-0005-0000-0000-0000830F0000}"/>
    <cellStyle name="Normal 5 2 3 2 2 3" xfId="5030" xr:uid="{00000000-0005-0000-0000-0000840F0000}"/>
    <cellStyle name="Normal 5 2 3 2 3" xfId="718" xr:uid="{00000000-0005-0000-0000-0000850F0000}"/>
    <cellStyle name="Normal 5 2 3 2 3 2" xfId="5300" xr:uid="{00000000-0005-0000-0000-0000860F0000}"/>
    <cellStyle name="Normal 5 2 3 2 4" xfId="4877" xr:uid="{00000000-0005-0000-0000-0000870F0000}"/>
    <cellStyle name="Normal 5 2 3 3" xfId="568" xr:uid="{00000000-0005-0000-0000-0000880F0000}"/>
    <cellStyle name="Normal 5 2 3 3 2" xfId="822" xr:uid="{00000000-0005-0000-0000-0000890F0000}"/>
    <cellStyle name="Normal 5 2 3 3 2 2" xfId="2745" xr:uid="{00000000-0005-0000-0000-00008A0F0000}"/>
    <cellStyle name="Normal 5 2 3 3 2 2 2" xfId="5454" xr:uid="{00000000-0005-0000-0000-00008B0F0000}"/>
    <cellStyle name="Normal 5 2 3 3 2 3" xfId="5031" xr:uid="{00000000-0005-0000-0000-00008C0F0000}"/>
    <cellStyle name="Normal 5 2 3 3 3" xfId="2746" xr:uid="{00000000-0005-0000-0000-00008D0F0000}"/>
    <cellStyle name="Normal 5 2 3 3 3 2" xfId="5264" xr:uid="{00000000-0005-0000-0000-00008E0F0000}"/>
    <cellStyle name="Normal 5 2 3 3 4" xfId="4841" xr:uid="{00000000-0005-0000-0000-00008F0F0000}"/>
    <cellStyle name="Normal 5 2 3 4" xfId="656" xr:uid="{00000000-0005-0000-0000-0000900F0000}"/>
    <cellStyle name="Normal 5 2 3 4 2" xfId="2747" xr:uid="{00000000-0005-0000-0000-0000910F0000}"/>
    <cellStyle name="Normal 5 2 3 4 2 2" xfId="5452" xr:uid="{00000000-0005-0000-0000-0000920F0000}"/>
    <cellStyle name="Normal 5 2 3 4 3" xfId="5029" xr:uid="{00000000-0005-0000-0000-0000930F0000}"/>
    <cellStyle name="Normal 5 2 3 5" xfId="2748" xr:uid="{00000000-0005-0000-0000-0000940F0000}"/>
    <cellStyle name="Normal 5 2 3 5 2" xfId="5162" xr:uid="{00000000-0005-0000-0000-0000950F0000}"/>
    <cellStyle name="Normal 5 2 3 6" xfId="3850" xr:uid="{00000000-0005-0000-0000-0000960F0000}"/>
    <cellStyle name="Normal 5 2 3 7" xfId="4730" xr:uid="{00000000-0005-0000-0000-0000970F0000}"/>
    <cellStyle name="Normal 5 2 4" xfId="2749" xr:uid="{00000000-0005-0000-0000-0000980F0000}"/>
    <cellStyle name="Normal 5 2 4 2" xfId="2750" xr:uid="{00000000-0005-0000-0000-0000990F0000}"/>
    <cellStyle name="Normal 5 2 4 2 2" xfId="2751" xr:uid="{00000000-0005-0000-0000-00009A0F0000}"/>
    <cellStyle name="Normal 5 2 4 2 2 2" xfId="5455" xr:uid="{00000000-0005-0000-0000-00009B0F0000}"/>
    <cellStyle name="Normal 5 2 4 2 3" xfId="5032" xr:uid="{00000000-0005-0000-0000-00009C0F0000}"/>
    <cellStyle name="Normal 5 2 4 3" xfId="2752" xr:uid="{00000000-0005-0000-0000-00009D0F0000}"/>
    <cellStyle name="Normal 5 2 4 3 2" xfId="5207" xr:uid="{00000000-0005-0000-0000-00009E0F0000}"/>
    <cellStyle name="Normal 5 2 4 4" xfId="4781" xr:uid="{00000000-0005-0000-0000-00009F0F0000}"/>
    <cellStyle name="Normal 5 2 5" xfId="2753" xr:uid="{00000000-0005-0000-0000-0000A00F0000}"/>
    <cellStyle name="Normal 5 2 5 2" xfId="2754" xr:uid="{00000000-0005-0000-0000-0000A10F0000}"/>
    <cellStyle name="Normal 5 2 5 2 2" xfId="2755" xr:uid="{00000000-0005-0000-0000-0000A20F0000}"/>
    <cellStyle name="Normal 5 2 5 2 2 2" xfId="5456" xr:uid="{00000000-0005-0000-0000-0000A30F0000}"/>
    <cellStyle name="Normal 5 2 5 2 3" xfId="5033" xr:uid="{00000000-0005-0000-0000-0000A40F0000}"/>
    <cellStyle name="Normal 5 2 5 3" xfId="2756" xr:uid="{00000000-0005-0000-0000-0000A50F0000}"/>
    <cellStyle name="Normal 5 2 5 3 2" xfId="5271" xr:uid="{00000000-0005-0000-0000-0000A60F0000}"/>
    <cellStyle name="Normal 5 2 5 4" xfId="4848" xr:uid="{00000000-0005-0000-0000-0000A70F0000}"/>
    <cellStyle name="Normal 5 2 6" xfId="2757" xr:uid="{00000000-0005-0000-0000-0000A80F0000}"/>
    <cellStyle name="Normal 5 2 6 2" xfId="2758" xr:uid="{00000000-0005-0000-0000-0000A90F0000}"/>
    <cellStyle name="Normal 5 2 6 2 2" xfId="2759" xr:uid="{00000000-0005-0000-0000-0000AA0F0000}"/>
    <cellStyle name="Normal 5 2 6 2 2 2" xfId="5457" xr:uid="{00000000-0005-0000-0000-0000AB0F0000}"/>
    <cellStyle name="Normal 5 2 6 2 3" xfId="5034" xr:uid="{00000000-0005-0000-0000-0000AC0F0000}"/>
    <cellStyle name="Normal 5 2 6 3" xfId="2760" xr:uid="{00000000-0005-0000-0000-0000AD0F0000}"/>
    <cellStyle name="Normal 5 2 6 3 2" xfId="5273" xr:uid="{00000000-0005-0000-0000-0000AE0F0000}"/>
    <cellStyle name="Normal 5 2 6 4" xfId="4850" xr:uid="{00000000-0005-0000-0000-0000AF0F0000}"/>
    <cellStyle name="Normal 5 2 7" xfId="2761" xr:uid="{00000000-0005-0000-0000-0000B00F0000}"/>
    <cellStyle name="Normal 5 2 7 2" xfId="2762" xr:uid="{00000000-0005-0000-0000-0000B10F0000}"/>
    <cellStyle name="Normal 5 2 7 2 2" xfId="2763" xr:uid="{00000000-0005-0000-0000-0000B20F0000}"/>
    <cellStyle name="Normal 5 2 7 2 2 2" xfId="5458" xr:uid="{00000000-0005-0000-0000-0000B30F0000}"/>
    <cellStyle name="Normal 5 2 7 2 3" xfId="5035" xr:uid="{00000000-0005-0000-0000-0000B40F0000}"/>
    <cellStyle name="Normal 5 2 7 3" xfId="2764" xr:uid="{00000000-0005-0000-0000-0000B50F0000}"/>
    <cellStyle name="Normal 5 2 7 3 2" xfId="5167" xr:uid="{00000000-0005-0000-0000-0000B60F0000}"/>
    <cellStyle name="Normal 5 2 7 4" xfId="4737" xr:uid="{00000000-0005-0000-0000-0000B70F0000}"/>
    <cellStyle name="Normal 5 2 8" xfId="2765" xr:uid="{00000000-0005-0000-0000-0000B80F0000}"/>
    <cellStyle name="Normal 5 2 8 2" xfId="2766" xr:uid="{00000000-0005-0000-0000-0000B90F0000}"/>
    <cellStyle name="Normal 5 2 8 2 2" xfId="5447" xr:uid="{00000000-0005-0000-0000-0000BA0F0000}"/>
    <cellStyle name="Normal 5 2 8 3" xfId="5024" xr:uid="{00000000-0005-0000-0000-0000BB0F0000}"/>
    <cellStyle name="Normal 5 2 9" xfId="2767" xr:uid="{00000000-0005-0000-0000-0000BC0F0000}"/>
    <cellStyle name="Normal 5 3" xfId="328" xr:uid="{00000000-0005-0000-0000-0000BD0F0000}"/>
    <cellStyle name="Normal 5 3 2" xfId="465" xr:uid="{00000000-0005-0000-0000-0000BE0F0000}"/>
    <cellStyle name="Normal 5 3 2 2" xfId="571" xr:uid="{00000000-0005-0000-0000-0000BF0F0000}"/>
    <cellStyle name="Normal 5 3 2 2 2" xfId="825" xr:uid="{00000000-0005-0000-0000-0000C00F0000}"/>
    <cellStyle name="Normal 5 3 2 3" xfId="719" xr:uid="{00000000-0005-0000-0000-0000C10F0000}"/>
    <cellStyle name="Normal 5 3 2 4" xfId="4116" xr:uid="{00000000-0005-0000-0000-0000C20F0000}"/>
    <cellStyle name="Normal 5 3 3" xfId="570" xr:uid="{00000000-0005-0000-0000-0000C30F0000}"/>
    <cellStyle name="Normal 5 3 3 2" xfId="824" xr:uid="{00000000-0005-0000-0000-0000C40F0000}"/>
    <cellStyle name="Normal 5 3 4" xfId="657" xr:uid="{00000000-0005-0000-0000-0000C50F0000}"/>
    <cellStyle name="Normal 5 3 5" xfId="3736" xr:uid="{00000000-0005-0000-0000-0000C60F0000}"/>
    <cellStyle name="Normal 5 4" xfId="329" xr:uid="{00000000-0005-0000-0000-0000C70F0000}"/>
    <cellStyle name="Normal 5 4 2" xfId="2768" xr:uid="{00000000-0005-0000-0000-0000C80F0000}"/>
    <cellStyle name="Normal 5 4 2 2" xfId="5127" xr:uid="{00000000-0005-0000-0000-0000C90F0000}"/>
    <cellStyle name="Normal 5 4 3" xfId="3737" xr:uid="{00000000-0005-0000-0000-0000CA0F0000}"/>
    <cellStyle name="Normal 5 4 4" xfId="5077" xr:uid="{00000000-0005-0000-0000-0000CB0F0000}"/>
    <cellStyle name="Normal 5 5" xfId="330" xr:uid="{00000000-0005-0000-0000-0000CC0F0000}"/>
    <cellStyle name="Normal 5 5 2" xfId="466" xr:uid="{00000000-0005-0000-0000-0000CD0F0000}"/>
    <cellStyle name="Normal 5 5 2 2" xfId="573" xr:uid="{00000000-0005-0000-0000-0000CE0F0000}"/>
    <cellStyle name="Normal 5 5 2 2 2" xfId="827" xr:uid="{00000000-0005-0000-0000-0000CF0F0000}"/>
    <cellStyle name="Normal 5 5 2 3" xfId="720" xr:uid="{00000000-0005-0000-0000-0000D00F0000}"/>
    <cellStyle name="Normal 5 5 3" xfId="572" xr:uid="{00000000-0005-0000-0000-0000D10F0000}"/>
    <cellStyle name="Normal 5 5 3 2" xfId="826" xr:uid="{00000000-0005-0000-0000-0000D20F0000}"/>
    <cellStyle name="Normal 5 5 4" xfId="658" xr:uid="{00000000-0005-0000-0000-0000D30F0000}"/>
    <cellStyle name="Normal 5 5 5" xfId="4114" xr:uid="{00000000-0005-0000-0000-0000D40F0000}"/>
    <cellStyle name="Normal 5 6" xfId="331" xr:uid="{00000000-0005-0000-0000-0000D50F0000}"/>
    <cellStyle name="Normal 5 6 2" xfId="467" xr:uid="{00000000-0005-0000-0000-0000D60F0000}"/>
    <cellStyle name="Normal 5 6 2 2" xfId="575" xr:uid="{00000000-0005-0000-0000-0000D70F0000}"/>
    <cellStyle name="Normal 5 6 2 2 2" xfId="829" xr:uid="{00000000-0005-0000-0000-0000D80F0000}"/>
    <cellStyle name="Normal 5 6 2 3" xfId="721" xr:uid="{00000000-0005-0000-0000-0000D90F0000}"/>
    <cellStyle name="Normal 5 6 3" xfId="574" xr:uid="{00000000-0005-0000-0000-0000DA0F0000}"/>
    <cellStyle name="Normal 5 6 3 2" xfId="828" xr:uid="{00000000-0005-0000-0000-0000DB0F0000}"/>
    <cellStyle name="Normal 5 6 4" xfId="659" xr:uid="{00000000-0005-0000-0000-0000DC0F0000}"/>
    <cellStyle name="Normal 5 7" xfId="618" xr:uid="{00000000-0005-0000-0000-0000DD0F0000}"/>
    <cellStyle name="Normal 5 8" xfId="611" xr:uid="{00000000-0005-0000-0000-0000DE0F0000}"/>
    <cellStyle name="Normal 5 9" xfId="4678" xr:uid="{00000000-0005-0000-0000-0000DF0F0000}"/>
    <cellStyle name="Normal 50" xfId="2769" xr:uid="{00000000-0005-0000-0000-0000E00F0000}"/>
    <cellStyle name="Normal 50 2" xfId="2770" xr:uid="{00000000-0005-0000-0000-0000E10F0000}"/>
    <cellStyle name="Normal 50 2 2" xfId="4117" xr:uid="{00000000-0005-0000-0000-0000E20F0000}"/>
    <cellStyle name="Normal 50 3" xfId="2771" xr:uid="{00000000-0005-0000-0000-0000E30F0000}"/>
    <cellStyle name="Normal 50 3 2" xfId="4118" xr:uid="{00000000-0005-0000-0000-0000E40F0000}"/>
    <cellStyle name="Normal 50 4" xfId="2772" xr:uid="{00000000-0005-0000-0000-0000E50F0000}"/>
    <cellStyle name="Normal 51" xfId="2773" xr:uid="{00000000-0005-0000-0000-0000E60F0000}"/>
    <cellStyle name="Normal 51 2" xfId="2774" xr:uid="{00000000-0005-0000-0000-0000E70F0000}"/>
    <cellStyle name="Normal 51 2 2" xfId="4120" xr:uid="{00000000-0005-0000-0000-0000E80F0000}"/>
    <cellStyle name="Normal 51 3" xfId="2775" xr:uid="{00000000-0005-0000-0000-0000E90F0000}"/>
    <cellStyle name="Normal 51 3 2" xfId="3739" xr:uid="{00000000-0005-0000-0000-0000EA0F0000}"/>
    <cellStyle name="Normal 51 4" xfId="2776" xr:uid="{00000000-0005-0000-0000-0000EB0F0000}"/>
    <cellStyle name="Normal 51 4 2" xfId="4119" xr:uid="{00000000-0005-0000-0000-0000EC0F0000}"/>
    <cellStyle name="Normal 52" xfId="2777" xr:uid="{00000000-0005-0000-0000-0000ED0F0000}"/>
    <cellStyle name="Normal 52 2" xfId="2778" xr:uid="{00000000-0005-0000-0000-0000EE0F0000}"/>
    <cellStyle name="Normal 52 2 2" xfId="4122" xr:uid="{00000000-0005-0000-0000-0000EF0F0000}"/>
    <cellStyle name="Normal 52 3" xfId="2779" xr:uid="{00000000-0005-0000-0000-0000F00F0000}"/>
    <cellStyle name="Normal 52 3 2" xfId="3740" xr:uid="{00000000-0005-0000-0000-0000F10F0000}"/>
    <cellStyle name="Normal 52 4" xfId="2780" xr:uid="{00000000-0005-0000-0000-0000F20F0000}"/>
    <cellStyle name="Normal 52 4 2" xfId="4121" xr:uid="{00000000-0005-0000-0000-0000F30F0000}"/>
    <cellStyle name="Normal 53" xfId="2781" xr:uid="{00000000-0005-0000-0000-0000F40F0000}"/>
    <cellStyle name="Normal 53 2" xfId="2782" xr:uid="{00000000-0005-0000-0000-0000F50F0000}"/>
    <cellStyle name="Normal 53 2 2" xfId="4123" xr:uid="{00000000-0005-0000-0000-0000F60F0000}"/>
    <cellStyle name="Normal 53 3" xfId="2783" xr:uid="{00000000-0005-0000-0000-0000F70F0000}"/>
    <cellStyle name="Normal 53 4" xfId="2784" xr:uid="{00000000-0005-0000-0000-0000F80F0000}"/>
    <cellStyle name="Normal 54" xfId="2785" xr:uid="{00000000-0005-0000-0000-0000F90F0000}"/>
    <cellStyle name="Normal 54 2" xfId="2786" xr:uid="{00000000-0005-0000-0000-0000FA0F0000}"/>
    <cellStyle name="Normal 54 3" xfId="2787" xr:uid="{00000000-0005-0000-0000-0000FB0F0000}"/>
    <cellStyle name="Normal 55" xfId="2788" xr:uid="{00000000-0005-0000-0000-0000FC0F0000}"/>
    <cellStyle name="Normal 55 2" xfId="2789" xr:uid="{00000000-0005-0000-0000-0000FD0F0000}"/>
    <cellStyle name="Normal 55 2 2" xfId="4124" xr:uid="{00000000-0005-0000-0000-0000FE0F0000}"/>
    <cellStyle name="Normal 55 3" xfId="2790" xr:uid="{00000000-0005-0000-0000-0000FF0F0000}"/>
    <cellStyle name="Normal 55 4" xfId="2791" xr:uid="{00000000-0005-0000-0000-000000100000}"/>
    <cellStyle name="Normal 56" xfId="2792" xr:uid="{00000000-0005-0000-0000-000001100000}"/>
    <cellStyle name="Normal 56 2" xfId="2793" xr:uid="{00000000-0005-0000-0000-000002100000}"/>
    <cellStyle name="Normal 56 3" xfId="2794" xr:uid="{00000000-0005-0000-0000-000003100000}"/>
    <cellStyle name="Normal 57" xfId="2795" xr:uid="{00000000-0005-0000-0000-000004100000}"/>
    <cellStyle name="Normal 57 2" xfId="2796" xr:uid="{00000000-0005-0000-0000-000005100000}"/>
    <cellStyle name="Normal 58" xfId="2797" xr:uid="{00000000-0005-0000-0000-000006100000}"/>
    <cellStyle name="Normal 58 2" xfId="4125" xr:uid="{00000000-0005-0000-0000-000007100000}"/>
    <cellStyle name="Normal 59" xfId="2798" xr:uid="{00000000-0005-0000-0000-000008100000}"/>
    <cellStyle name="Normal 59 2" xfId="4126" xr:uid="{00000000-0005-0000-0000-000009100000}"/>
    <cellStyle name="Normal 6" xfId="332" xr:uid="{00000000-0005-0000-0000-00000A100000}"/>
    <cellStyle name="Normal 6 2" xfId="333" xr:uid="{00000000-0005-0000-0000-00000B100000}"/>
    <cellStyle name="Normal 6 2 2" xfId="334" xr:uid="{00000000-0005-0000-0000-00000C100000}"/>
    <cellStyle name="Normal 6 2 2 2" xfId="468" xr:uid="{00000000-0005-0000-0000-00000D100000}"/>
    <cellStyle name="Normal 6 2 2 2 2" xfId="577" xr:uid="{00000000-0005-0000-0000-00000E100000}"/>
    <cellStyle name="Normal 6 2 2 2 2 2" xfId="831" xr:uid="{00000000-0005-0000-0000-00000F100000}"/>
    <cellStyle name="Normal 6 2 2 2 3" xfId="722" xr:uid="{00000000-0005-0000-0000-000010100000}"/>
    <cellStyle name="Normal 6 2 2 2 4" xfId="5086" xr:uid="{00000000-0005-0000-0000-000011100000}"/>
    <cellStyle name="Normal 6 2 2 3" xfId="576" xr:uid="{00000000-0005-0000-0000-000012100000}"/>
    <cellStyle name="Normal 6 2 2 3 2" xfId="830" xr:uid="{00000000-0005-0000-0000-000013100000}"/>
    <cellStyle name="Normal 6 2 2 4" xfId="660" xr:uid="{00000000-0005-0000-0000-000014100000}"/>
    <cellStyle name="Normal 6 2 2 5" xfId="3851" xr:uid="{00000000-0005-0000-0000-000015100000}"/>
    <cellStyle name="Normal 6 2 2 6" xfId="5093" xr:uid="{00000000-0005-0000-0000-000016100000}"/>
    <cellStyle name="Normal 6 2 3" xfId="2799" xr:uid="{00000000-0005-0000-0000-000017100000}"/>
    <cellStyle name="Normal 6 2 3 2" xfId="3852" xr:uid="{00000000-0005-0000-0000-000018100000}"/>
    <cellStyle name="Normal 6 2 3 3" xfId="5123" xr:uid="{00000000-0005-0000-0000-000019100000}"/>
    <cellStyle name="Normal 6 2 4" xfId="2800" xr:uid="{00000000-0005-0000-0000-00001A100000}"/>
    <cellStyle name="Normal 6 2 5" xfId="4722" xr:uid="{00000000-0005-0000-0000-00001B100000}"/>
    <cellStyle name="Normal 6 3" xfId="335" xr:uid="{00000000-0005-0000-0000-00001C100000}"/>
    <cellStyle name="Normal 6 3 2" xfId="469" xr:uid="{00000000-0005-0000-0000-00001D100000}"/>
    <cellStyle name="Normal 6 3 2 2" xfId="579" xr:uid="{00000000-0005-0000-0000-00001E100000}"/>
    <cellStyle name="Normal 6 3 2 2 2" xfId="833" xr:uid="{00000000-0005-0000-0000-00001F100000}"/>
    <cellStyle name="Normal 6 3 2 3" xfId="723" xr:uid="{00000000-0005-0000-0000-000020100000}"/>
    <cellStyle name="Normal 6 3 2 4" xfId="4127" xr:uid="{00000000-0005-0000-0000-000021100000}"/>
    <cellStyle name="Normal 6 3 3" xfId="578" xr:uid="{00000000-0005-0000-0000-000022100000}"/>
    <cellStyle name="Normal 6 3 3 2" xfId="832" xr:uid="{00000000-0005-0000-0000-000023100000}"/>
    <cellStyle name="Normal 6 3 4" xfId="661" xr:uid="{00000000-0005-0000-0000-000024100000}"/>
    <cellStyle name="Normal 6 3 5" xfId="3741" xr:uid="{00000000-0005-0000-0000-000025100000}"/>
    <cellStyle name="Normal 6 3 6" xfId="5078" xr:uid="{00000000-0005-0000-0000-000026100000}"/>
    <cellStyle name="Normal 6 4" xfId="2801" xr:uid="{00000000-0005-0000-0000-000027100000}"/>
    <cellStyle name="Normal 6 4 2" xfId="3742" xr:uid="{00000000-0005-0000-0000-000028100000}"/>
    <cellStyle name="Normal 6 4 3" xfId="5071" xr:uid="{00000000-0005-0000-0000-000029100000}"/>
    <cellStyle name="Normal 6 5" xfId="2802" xr:uid="{00000000-0005-0000-0000-00002A100000}"/>
    <cellStyle name="Normal 6 6" xfId="2803" xr:uid="{00000000-0005-0000-0000-00002B100000}"/>
    <cellStyle name="Normal 6 7" xfId="4680" xr:uid="{00000000-0005-0000-0000-00002C100000}"/>
    <cellStyle name="Normal 60" xfId="2804" xr:uid="{00000000-0005-0000-0000-00002D100000}"/>
    <cellStyle name="Normal 60 2" xfId="2805" xr:uid="{00000000-0005-0000-0000-00002E100000}"/>
    <cellStyle name="Normal 60 2 2" xfId="4129" xr:uid="{00000000-0005-0000-0000-00002F100000}"/>
    <cellStyle name="Normal 60 3" xfId="4128" xr:uid="{00000000-0005-0000-0000-000030100000}"/>
    <cellStyle name="Normal 61" xfId="2806" xr:uid="{00000000-0005-0000-0000-000031100000}"/>
    <cellStyle name="Normal 61 2" xfId="4130" xr:uid="{00000000-0005-0000-0000-000032100000}"/>
    <cellStyle name="Normal 62" xfId="2807" xr:uid="{00000000-0005-0000-0000-000033100000}"/>
    <cellStyle name="Normal 62 2" xfId="4131" xr:uid="{00000000-0005-0000-0000-000034100000}"/>
    <cellStyle name="Normal 63" xfId="2808" xr:uid="{00000000-0005-0000-0000-000035100000}"/>
    <cellStyle name="Normal 63 2" xfId="4132" xr:uid="{00000000-0005-0000-0000-000036100000}"/>
    <cellStyle name="Normal 64" xfId="2809" xr:uid="{00000000-0005-0000-0000-000037100000}"/>
    <cellStyle name="Normal 64 2" xfId="4133" xr:uid="{00000000-0005-0000-0000-000038100000}"/>
    <cellStyle name="Normal 65" xfId="2810" xr:uid="{00000000-0005-0000-0000-000039100000}"/>
    <cellStyle name="Normal 65 2" xfId="4134" xr:uid="{00000000-0005-0000-0000-00003A100000}"/>
    <cellStyle name="Normal 66" xfId="2811" xr:uid="{00000000-0005-0000-0000-00003B100000}"/>
    <cellStyle name="Normal 66 2" xfId="4135" xr:uid="{00000000-0005-0000-0000-00003C100000}"/>
    <cellStyle name="Normal 67" xfId="2812" xr:uid="{00000000-0005-0000-0000-00003D100000}"/>
    <cellStyle name="Normal 67 2" xfId="4136" xr:uid="{00000000-0005-0000-0000-00003E100000}"/>
    <cellStyle name="Normal 68" xfId="2813" xr:uid="{00000000-0005-0000-0000-00003F100000}"/>
    <cellStyle name="Normal 68 2" xfId="4137" xr:uid="{00000000-0005-0000-0000-000040100000}"/>
    <cellStyle name="Normal 69" xfId="2814" xr:uid="{00000000-0005-0000-0000-000041100000}"/>
    <cellStyle name="Normal 69 2" xfId="4138" xr:uid="{00000000-0005-0000-0000-000042100000}"/>
    <cellStyle name="Normal 7" xfId="336" xr:uid="{00000000-0005-0000-0000-000043100000}"/>
    <cellStyle name="Normal 7 2" xfId="337" xr:uid="{00000000-0005-0000-0000-000044100000}"/>
    <cellStyle name="Normal 7 2 2" xfId="471" xr:uid="{00000000-0005-0000-0000-000045100000}"/>
    <cellStyle name="Normal 7 2 2 2" xfId="582" xr:uid="{00000000-0005-0000-0000-000046100000}"/>
    <cellStyle name="Normal 7 2 2 2 2" xfId="836" xr:uid="{00000000-0005-0000-0000-000047100000}"/>
    <cellStyle name="Normal 7 2 2 3" xfId="725" xr:uid="{00000000-0005-0000-0000-000048100000}"/>
    <cellStyle name="Normal 7 2 2 4" xfId="3853" xr:uid="{00000000-0005-0000-0000-000049100000}"/>
    <cellStyle name="Normal 7 2 3" xfId="581" xr:uid="{00000000-0005-0000-0000-00004A100000}"/>
    <cellStyle name="Normal 7 2 3 2" xfId="835" xr:uid="{00000000-0005-0000-0000-00004B100000}"/>
    <cellStyle name="Normal 7 2 3 3" xfId="3854" xr:uid="{00000000-0005-0000-0000-00004C100000}"/>
    <cellStyle name="Normal 7 2 3 4" xfId="5068" xr:uid="{00000000-0005-0000-0000-00004D100000}"/>
    <cellStyle name="Normal 7 2 4" xfId="663" xr:uid="{00000000-0005-0000-0000-00004E100000}"/>
    <cellStyle name="Normal 7 2 4 2" xfId="5090" xr:uid="{00000000-0005-0000-0000-00004F100000}"/>
    <cellStyle name="Normal 7 2 5" xfId="3743" xr:uid="{00000000-0005-0000-0000-000050100000}"/>
    <cellStyle name="Normal 7 2 6" xfId="4723" xr:uid="{00000000-0005-0000-0000-000051100000}"/>
    <cellStyle name="Normal 7 3" xfId="338" xr:uid="{00000000-0005-0000-0000-000052100000}"/>
    <cellStyle name="Normal 7 3 2" xfId="2815" xr:uid="{00000000-0005-0000-0000-000053100000}"/>
    <cellStyle name="Normal 7 3 2 2" xfId="2816" xr:uid="{00000000-0005-0000-0000-000054100000}"/>
    <cellStyle name="Normal 7 3 2 2 2" xfId="2817" xr:uid="{00000000-0005-0000-0000-000055100000}"/>
    <cellStyle name="Normal 7 3 2 2 2 2" xfId="2818" xr:uid="{00000000-0005-0000-0000-000056100000}"/>
    <cellStyle name="Normal 7 3 2 2 2 2 2" xfId="5460" xr:uid="{00000000-0005-0000-0000-000057100000}"/>
    <cellStyle name="Normal 7 3 2 2 2 3" xfId="5037" xr:uid="{00000000-0005-0000-0000-000058100000}"/>
    <cellStyle name="Normal 7 3 2 2 3" xfId="2819" xr:uid="{00000000-0005-0000-0000-000059100000}"/>
    <cellStyle name="Normal 7 3 2 2 3 2" xfId="5241" xr:uid="{00000000-0005-0000-0000-00005A100000}"/>
    <cellStyle name="Normal 7 3 2 2 4" xfId="4815" xr:uid="{00000000-0005-0000-0000-00005B100000}"/>
    <cellStyle name="Normal 7 3 2 3" xfId="2820" xr:uid="{00000000-0005-0000-0000-00005C100000}"/>
    <cellStyle name="Normal 7 3 2 3 2" xfId="2821" xr:uid="{00000000-0005-0000-0000-00005D100000}"/>
    <cellStyle name="Normal 7 3 2 3 2 2" xfId="5459" xr:uid="{00000000-0005-0000-0000-00005E100000}"/>
    <cellStyle name="Normal 7 3 2 3 3" xfId="5036" xr:uid="{00000000-0005-0000-0000-00005F100000}"/>
    <cellStyle name="Normal 7 3 2 4" xfId="2822" xr:uid="{00000000-0005-0000-0000-000060100000}"/>
    <cellStyle name="Normal 7 3 2 4 2" xfId="5201" xr:uid="{00000000-0005-0000-0000-000061100000}"/>
    <cellStyle name="Normal 7 3 2 5" xfId="4140" xr:uid="{00000000-0005-0000-0000-000062100000}"/>
    <cellStyle name="Normal 7 3 2 6" xfId="4774" xr:uid="{00000000-0005-0000-0000-000063100000}"/>
    <cellStyle name="Normal 7 3 3" xfId="2823" xr:uid="{00000000-0005-0000-0000-000064100000}"/>
    <cellStyle name="Normal 7 3 3 2" xfId="2824" xr:uid="{00000000-0005-0000-0000-000065100000}"/>
    <cellStyle name="Normal 7 3 3 2 2" xfId="2825" xr:uid="{00000000-0005-0000-0000-000066100000}"/>
    <cellStyle name="Normal 7 3 3 2 2 2" xfId="5461" xr:uid="{00000000-0005-0000-0000-000067100000}"/>
    <cellStyle name="Normal 7 3 3 2 3" xfId="5038" xr:uid="{00000000-0005-0000-0000-000068100000}"/>
    <cellStyle name="Normal 7 3 3 3" xfId="2826" xr:uid="{00000000-0005-0000-0000-000069100000}"/>
    <cellStyle name="Normal 7 3 3 3 2" xfId="5205" xr:uid="{00000000-0005-0000-0000-00006A100000}"/>
    <cellStyle name="Normal 7 3 3 4" xfId="4779" xr:uid="{00000000-0005-0000-0000-00006B100000}"/>
    <cellStyle name="Normal 7 3 4" xfId="2827" xr:uid="{00000000-0005-0000-0000-00006C100000}"/>
    <cellStyle name="Normal 7 3 5" xfId="2828" xr:uid="{00000000-0005-0000-0000-00006D100000}"/>
    <cellStyle name="Normal 7 3 5 2" xfId="2829" xr:uid="{00000000-0005-0000-0000-00006E100000}"/>
    <cellStyle name="Normal 7 3 5 2 2" xfId="2830" xr:uid="{00000000-0005-0000-0000-00006F100000}"/>
    <cellStyle name="Normal 7 3 5 2 2 2" xfId="5462" xr:uid="{00000000-0005-0000-0000-000070100000}"/>
    <cellStyle name="Normal 7 3 5 2 3" xfId="5039" xr:uid="{00000000-0005-0000-0000-000071100000}"/>
    <cellStyle name="Normal 7 3 5 3" xfId="2831" xr:uid="{00000000-0005-0000-0000-000072100000}"/>
    <cellStyle name="Normal 7 3 5 3 2" xfId="5165" xr:uid="{00000000-0005-0000-0000-000073100000}"/>
    <cellStyle name="Normal 7 3 5 4" xfId="4734" xr:uid="{00000000-0005-0000-0000-000074100000}"/>
    <cellStyle name="Normal 7 4" xfId="470" xr:uid="{00000000-0005-0000-0000-000075100000}"/>
    <cellStyle name="Normal 7 4 2" xfId="583" xr:uid="{00000000-0005-0000-0000-000076100000}"/>
    <cellStyle name="Normal 7 4 2 2" xfId="837" xr:uid="{00000000-0005-0000-0000-000077100000}"/>
    <cellStyle name="Normal 7 4 2 2 2" xfId="2832" xr:uid="{00000000-0005-0000-0000-000078100000}"/>
    <cellStyle name="Normal 7 4 2 2 2 2" xfId="5464" xr:uid="{00000000-0005-0000-0000-000079100000}"/>
    <cellStyle name="Normal 7 4 2 2 3" xfId="5041" xr:uid="{00000000-0005-0000-0000-00007A100000}"/>
    <cellStyle name="Normal 7 4 2 3" xfId="2833" xr:uid="{00000000-0005-0000-0000-00007B100000}"/>
    <cellStyle name="Normal 7 4 2 3 2" xfId="5240" xr:uid="{00000000-0005-0000-0000-00007C100000}"/>
    <cellStyle name="Normal 7 4 2 4" xfId="4814" xr:uid="{00000000-0005-0000-0000-00007D100000}"/>
    <cellStyle name="Normal 7 4 3" xfId="724" xr:uid="{00000000-0005-0000-0000-00007E100000}"/>
    <cellStyle name="Normal 7 4 3 2" xfId="2834" xr:uid="{00000000-0005-0000-0000-00007F100000}"/>
    <cellStyle name="Normal 7 4 3 2 2" xfId="5463" xr:uid="{00000000-0005-0000-0000-000080100000}"/>
    <cellStyle name="Normal 7 4 3 3" xfId="5040" xr:uid="{00000000-0005-0000-0000-000081100000}"/>
    <cellStyle name="Normal 7 4 4" xfId="2835" xr:uid="{00000000-0005-0000-0000-000082100000}"/>
    <cellStyle name="Normal 7 4 4 2" xfId="5200" xr:uid="{00000000-0005-0000-0000-000083100000}"/>
    <cellStyle name="Normal 7 4 5" xfId="2836" xr:uid="{00000000-0005-0000-0000-000084100000}"/>
    <cellStyle name="Normal 7 4 6" xfId="3744" xr:uid="{00000000-0005-0000-0000-000085100000}"/>
    <cellStyle name="Normal 7 4 7" xfId="4773" xr:uid="{00000000-0005-0000-0000-000086100000}"/>
    <cellStyle name="Normal 7 5" xfId="580" xr:uid="{00000000-0005-0000-0000-000087100000}"/>
    <cellStyle name="Normal 7 5 2" xfId="834" xr:uid="{00000000-0005-0000-0000-000088100000}"/>
    <cellStyle name="Normal 7 5 2 2" xfId="2837" xr:uid="{00000000-0005-0000-0000-000089100000}"/>
    <cellStyle name="Normal 7 5 2 2 2" xfId="5465" xr:uid="{00000000-0005-0000-0000-00008A100000}"/>
    <cellStyle name="Normal 7 5 2 3" xfId="5042" xr:uid="{00000000-0005-0000-0000-00008B100000}"/>
    <cellStyle name="Normal 7 5 3" xfId="2838" xr:uid="{00000000-0005-0000-0000-00008C100000}"/>
    <cellStyle name="Normal 7 5 3 2" xfId="5204" xr:uid="{00000000-0005-0000-0000-00008D100000}"/>
    <cellStyle name="Normal 7 5 4" xfId="4139" xr:uid="{00000000-0005-0000-0000-00008E100000}"/>
    <cellStyle name="Normal 7 5 5" xfId="4778" xr:uid="{00000000-0005-0000-0000-00008F100000}"/>
    <cellStyle name="Normal 7 6" xfId="662" xr:uid="{00000000-0005-0000-0000-000090100000}"/>
    <cellStyle name="Normal 7 6 2" xfId="2839" xr:uid="{00000000-0005-0000-0000-000091100000}"/>
    <cellStyle name="Normal 7 6 2 2" xfId="2840" xr:uid="{00000000-0005-0000-0000-000092100000}"/>
    <cellStyle name="Normal 7 6 2 2 2" xfId="5466" xr:uid="{00000000-0005-0000-0000-000093100000}"/>
    <cellStyle name="Normal 7 6 2 3" xfId="5043" xr:uid="{00000000-0005-0000-0000-000094100000}"/>
    <cellStyle name="Normal 7 6 3" xfId="2841" xr:uid="{00000000-0005-0000-0000-000095100000}"/>
    <cellStyle name="Normal 7 6 3 2" xfId="5164" xr:uid="{00000000-0005-0000-0000-000096100000}"/>
    <cellStyle name="Normal 7 6 4" xfId="4733" xr:uid="{00000000-0005-0000-0000-000097100000}"/>
    <cellStyle name="Normal 70" xfId="2842" xr:uid="{00000000-0005-0000-0000-000098100000}"/>
    <cellStyle name="Normal 70 2" xfId="4141" xr:uid="{00000000-0005-0000-0000-000099100000}"/>
    <cellStyle name="Normal 71" xfId="2843" xr:uid="{00000000-0005-0000-0000-00009A100000}"/>
    <cellStyle name="Normal 71 2" xfId="4142" xr:uid="{00000000-0005-0000-0000-00009B100000}"/>
    <cellStyle name="Normal 72" xfId="2844" xr:uid="{00000000-0005-0000-0000-00009C100000}"/>
    <cellStyle name="Normal 72 2" xfId="4143" xr:uid="{00000000-0005-0000-0000-00009D100000}"/>
    <cellStyle name="Normal 73" xfId="2845" xr:uid="{00000000-0005-0000-0000-00009E100000}"/>
    <cellStyle name="Normal 73 2" xfId="2846" xr:uid="{00000000-0005-0000-0000-00009F100000}"/>
    <cellStyle name="Normal 73 2 2" xfId="4145" xr:uid="{00000000-0005-0000-0000-0000A0100000}"/>
    <cellStyle name="Normal 73 3" xfId="4144" xr:uid="{00000000-0005-0000-0000-0000A1100000}"/>
    <cellStyle name="Normal 74" xfId="2847" xr:uid="{00000000-0005-0000-0000-0000A2100000}"/>
    <cellStyle name="Normal 74 2" xfId="2848" xr:uid="{00000000-0005-0000-0000-0000A3100000}"/>
    <cellStyle name="Normal 74 2 2" xfId="4147" xr:uid="{00000000-0005-0000-0000-0000A4100000}"/>
    <cellStyle name="Normal 74 3" xfId="4146" xr:uid="{00000000-0005-0000-0000-0000A5100000}"/>
    <cellStyle name="Normal 75" xfId="2849" xr:uid="{00000000-0005-0000-0000-0000A6100000}"/>
    <cellStyle name="Normal 75 2" xfId="2850" xr:uid="{00000000-0005-0000-0000-0000A7100000}"/>
    <cellStyle name="Normal 75 2 2" xfId="4149" xr:uid="{00000000-0005-0000-0000-0000A8100000}"/>
    <cellStyle name="Normal 75 3" xfId="2851" xr:uid="{00000000-0005-0000-0000-0000A9100000}"/>
    <cellStyle name="Normal 75 3 2" xfId="4150" xr:uid="{00000000-0005-0000-0000-0000AA100000}"/>
    <cellStyle name="Normal 75 4" xfId="4148" xr:uid="{00000000-0005-0000-0000-0000AB100000}"/>
    <cellStyle name="Normal 76" xfId="2852" xr:uid="{00000000-0005-0000-0000-0000AC100000}"/>
    <cellStyle name="Normal 76 2" xfId="2853" xr:uid="{00000000-0005-0000-0000-0000AD100000}"/>
    <cellStyle name="Normal 76 2 2" xfId="4152" xr:uid="{00000000-0005-0000-0000-0000AE100000}"/>
    <cellStyle name="Normal 76 3" xfId="2854" xr:uid="{00000000-0005-0000-0000-0000AF100000}"/>
    <cellStyle name="Normal 76 3 2" xfId="4153" xr:uid="{00000000-0005-0000-0000-0000B0100000}"/>
    <cellStyle name="Normal 76 4" xfId="4151" xr:uid="{00000000-0005-0000-0000-0000B1100000}"/>
    <cellStyle name="Normal 77" xfId="2855" xr:uid="{00000000-0005-0000-0000-0000B2100000}"/>
    <cellStyle name="Normal 77 2" xfId="2856" xr:uid="{00000000-0005-0000-0000-0000B3100000}"/>
    <cellStyle name="Normal 77 2 2" xfId="4155" xr:uid="{00000000-0005-0000-0000-0000B4100000}"/>
    <cellStyle name="Normal 77 3" xfId="2857" xr:uid="{00000000-0005-0000-0000-0000B5100000}"/>
    <cellStyle name="Normal 77 3 2" xfId="4156" xr:uid="{00000000-0005-0000-0000-0000B6100000}"/>
    <cellStyle name="Normal 77 4" xfId="4154" xr:uid="{00000000-0005-0000-0000-0000B7100000}"/>
    <cellStyle name="Normal 78" xfId="2858" xr:uid="{00000000-0005-0000-0000-0000B8100000}"/>
    <cellStyle name="Normal 78 2" xfId="2859" xr:uid="{00000000-0005-0000-0000-0000B9100000}"/>
    <cellStyle name="Normal 78 2 2" xfId="4158" xr:uid="{00000000-0005-0000-0000-0000BA100000}"/>
    <cellStyle name="Normal 78 3" xfId="4157" xr:uid="{00000000-0005-0000-0000-0000BB100000}"/>
    <cellStyle name="Normal 79" xfId="2860" xr:uid="{00000000-0005-0000-0000-0000BC100000}"/>
    <cellStyle name="Normal 79 2" xfId="4159" xr:uid="{00000000-0005-0000-0000-0000BD100000}"/>
    <cellStyle name="Normal 8" xfId="339" xr:uid="{00000000-0005-0000-0000-0000BE100000}"/>
    <cellStyle name="Normal 8 2" xfId="340" xr:uid="{00000000-0005-0000-0000-0000BF100000}"/>
    <cellStyle name="Normal 8 2 2" xfId="2861" xr:uid="{00000000-0005-0000-0000-0000C0100000}"/>
    <cellStyle name="Normal 8 2 2 2" xfId="2862" xr:uid="{00000000-0005-0000-0000-0000C1100000}"/>
    <cellStyle name="Normal 8 2 3" xfId="2863" xr:uid="{00000000-0005-0000-0000-0000C2100000}"/>
    <cellStyle name="Normal 8 2 3 2" xfId="3855" xr:uid="{00000000-0005-0000-0000-0000C3100000}"/>
    <cellStyle name="Normal 8 2 3 3" xfId="5087" xr:uid="{00000000-0005-0000-0000-0000C4100000}"/>
    <cellStyle name="Normal 8 2 4" xfId="2864" xr:uid="{00000000-0005-0000-0000-0000C5100000}"/>
    <cellStyle name="Normal 8 3" xfId="2865" xr:uid="{00000000-0005-0000-0000-0000C6100000}"/>
    <cellStyle name="Normal 8 3 10" xfId="4724" xr:uid="{00000000-0005-0000-0000-0000C7100000}"/>
    <cellStyle name="Normal 8 3 2" xfId="2866" xr:uid="{00000000-0005-0000-0000-0000C8100000}"/>
    <cellStyle name="Normal 8 3 2 2" xfId="2867" xr:uid="{00000000-0005-0000-0000-0000C9100000}"/>
    <cellStyle name="Normal 8 3 2 2 2" xfId="2868" xr:uid="{00000000-0005-0000-0000-0000CA100000}"/>
    <cellStyle name="Normal 8 3 2 2 2 2" xfId="2869" xr:uid="{00000000-0005-0000-0000-0000CB100000}"/>
    <cellStyle name="Normal 8 3 2 2 2 2 2" xfId="5469" xr:uid="{00000000-0005-0000-0000-0000CC100000}"/>
    <cellStyle name="Normal 8 3 2 2 2 3" xfId="5046" xr:uid="{00000000-0005-0000-0000-0000CD100000}"/>
    <cellStyle name="Normal 8 3 2 2 3" xfId="2870" xr:uid="{00000000-0005-0000-0000-0000CE100000}"/>
    <cellStyle name="Normal 8 3 2 2 3 2" xfId="5242" xr:uid="{00000000-0005-0000-0000-0000CF100000}"/>
    <cellStyle name="Normal 8 3 2 2 4" xfId="4816" xr:uid="{00000000-0005-0000-0000-0000D0100000}"/>
    <cellStyle name="Normal 8 3 2 3" xfId="2871" xr:uid="{00000000-0005-0000-0000-0000D1100000}"/>
    <cellStyle name="Normal 8 3 2 3 2" xfId="2872" xr:uid="{00000000-0005-0000-0000-0000D2100000}"/>
    <cellStyle name="Normal 8 3 2 3 2 2" xfId="5468" xr:uid="{00000000-0005-0000-0000-0000D3100000}"/>
    <cellStyle name="Normal 8 3 2 3 3" xfId="5045" xr:uid="{00000000-0005-0000-0000-0000D4100000}"/>
    <cellStyle name="Normal 8 3 2 4" xfId="2873" xr:uid="{00000000-0005-0000-0000-0000D5100000}"/>
    <cellStyle name="Normal 8 3 2 4 2" xfId="5202" xr:uid="{00000000-0005-0000-0000-0000D6100000}"/>
    <cellStyle name="Normal 8 3 2 5" xfId="4160" xr:uid="{00000000-0005-0000-0000-0000D7100000}"/>
    <cellStyle name="Normal 8 3 2 6" xfId="4775" xr:uid="{00000000-0005-0000-0000-0000D8100000}"/>
    <cellStyle name="Normal 8 3 3" xfId="2874" xr:uid="{00000000-0005-0000-0000-0000D9100000}"/>
    <cellStyle name="Normal 8 3 3 2" xfId="2875" xr:uid="{00000000-0005-0000-0000-0000DA100000}"/>
    <cellStyle name="Normal 8 3 3 2 2" xfId="2876" xr:uid="{00000000-0005-0000-0000-0000DB100000}"/>
    <cellStyle name="Normal 8 3 3 2 2 2" xfId="5470" xr:uid="{00000000-0005-0000-0000-0000DC100000}"/>
    <cellStyle name="Normal 8 3 3 2 3" xfId="5047" xr:uid="{00000000-0005-0000-0000-0000DD100000}"/>
    <cellStyle name="Normal 8 3 3 3" xfId="2877" xr:uid="{00000000-0005-0000-0000-0000DE100000}"/>
    <cellStyle name="Normal 8 3 3 3 2" xfId="5265" xr:uid="{00000000-0005-0000-0000-0000DF100000}"/>
    <cellStyle name="Normal 8 3 3 4" xfId="4842" xr:uid="{00000000-0005-0000-0000-0000E0100000}"/>
    <cellStyle name="Normal 8 3 4" xfId="2878" xr:uid="{00000000-0005-0000-0000-0000E1100000}"/>
    <cellStyle name="Normal 8 3 4 2" xfId="2879" xr:uid="{00000000-0005-0000-0000-0000E2100000}"/>
    <cellStyle name="Normal 8 3 4 2 2" xfId="2880" xr:uid="{00000000-0005-0000-0000-0000E3100000}"/>
    <cellStyle name="Normal 8 3 4 2 2 2" xfId="5471" xr:uid="{00000000-0005-0000-0000-0000E4100000}"/>
    <cellStyle name="Normal 8 3 4 2 3" xfId="5048" xr:uid="{00000000-0005-0000-0000-0000E5100000}"/>
    <cellStyle name="Normal 8 3 4 3" xfId="2881" xr:uid="{00000000-0005-0000-0000-0000E6100000}"/>
    <cellStyle name="Normal 8 3 4 3 2" xfId="5222" xr:uid="{00000000-0005-0000-0000-0000E7100000}"/>
    <cellStyle name="Normal 8 3 4 4" xfId="4796" xr:uid="{00000000-0005-0000-0000-0000E8100000}"/>
    <cellStyle name="Normal 8 3 5" xfId="2882" xr:uid="{00000000-0005-0000-0000-0000E9100000}"/>
    <cellStyle name="Normal 8 3 5 2" xfId="2883" xr:uid="{00000000-0005-0000-0000-0000EA100000}"/>
    <cellStyle name="Normal 8 3 5 2 2" xfId="2884" xr:uid="{00000000-0005-0000-0000-0000EB100000}"/>
    <cellStyle name="Normal 8 3 5 2 2 2" xfId="5472" xr:uid="{00000000-0005-0000-0000-0000EC100000}"/>
    <cellStyle name="Normal 8 3 5 2 3" xfId="5049" xr:uid="{00000000-0005-0000-0000-0000ED100000}"/>
    <cellStyle name="Normal 8 3 5 3" xfId="2885" xr:uid="{00000000-0005-0000-0000-0000EE100000}"/>
    <cellStyle name="Normal 8 3 5 3 2" xfId="5299" xr:uid="{00000000-0005-0000-0000-0000EF100000}"/>
    <cellStyle name="Normal 8 3 5 4" xfId="4876" xr:uid="{00000000-0005-0000-0000-0000F0100000}"/>
    <cellStyle name="Normal 8 3 6" xfId="2886" xr:uid="{00000000-0005-0000-0000-0000F1100000}"/>
    <cellStyle name="Normal 8 3 6 2" xfId="2887" xr:uid="{00000000-0005-0000-0000-0000F2100000}"/>
    <cellStyle name="Normal 8 3 6 2 2" xfId="2888" xr:uid="{00000000-0005-0000-0000-0000F3100000}"/>
    <cellStyle name="Normal 8 3 6 2 2 2" xfId="5473" xr:uid="{00000000-0005-0000-0000-0000F4100000}"/>
    <cellStyle name="Normal 8 3 6 2 3" xfId="5050" xr:uid="{00000000-0005-0000-0000-0000F5100000}"/>
    <cellStyle name="Normal 8 3 6 3" xfId="2889" xr:uid="{00000000-0005-0000-0000-0000F6100000}"/>
    <cellStyle name="Normal 8 3 6 3 2" xfId="5182" xr:uid="{00000000-0005-0000-0000-0000F7100000}"/>
    <cellStyle name="Normal 8 3 6 4" xfId="4753" xr:uid="{00000000-0005-0000-0000-0000F8100000}"/>
    <cellStyle name="Normal 8 3 7" xfId="2890" xr:uid="{00000000-0005-0000-0000-0000F9100000}"/>
    <cellStyle name="Normal 8 3 7 2" xfId="2891" xr:uid="{00000000-0005-0000-0000-0000FA100000}"/>
    <cellStyle name="Normal 8 3 7 2 2" xfId="5467" xr:uid="{00000000-0005-0000-0000-0000FB100000}"/>
    <cellStyle name="Normal 8 3 7 3" xfId="5044" xr:uid="{00000000-0005-0000-0000-0000FC100000}"/>
    <cellStyle name="Normal 8 3 8" xfId="2892" xr:uid="{00000000-0005-0000-0000-0000FD100000}"/>
    <cellStyle name="Normal 8 3 9" xfId="2893" xr:uid="{00000000-0005-0000-0000-0000FE100000}"/>
    <cellStyle name="Normal 8 3 9 2" xfId="5161" xr:uid="{00000000-0005-0000-0000-0000FF100000}"/>
    <cellStyle name="Normal 8 4" xfId="2894" xr:uid="{00000000-0005-0000-0000-000000110000}"/>
    <cellStyle name="Normal 8 4 2" xfId="2895" xr:uid="{00000000-0005-0000-0000-000001110000}"/>
    <cellStyle name="Normal 8 4 3" xfId="2896" xr:uid="{00000000-0005-0000-0000-000002110000}"/>
    <cellStyle name="Normal 8 4 3 2" xfId="5070" xr:uid="{00000000-0005-0000-0000-000003110000}"/>
    <cellStyle name="Normal 8 4 4" xfId="3745" xr:uid="{00000000-0005-0000-0000-000004110000}"/>
    <cellStyle name="Normal 8 5" xfId="2897" xr:uid="{00000000-0005-0000-0000-000005110000}"/>
    <cellStyle name="Normal 80" xfId="2898" xr:uid="{00000000-0005-0000-0000-000006110000}"/>
    <cellStyle name="Normal 80 2" xfId="4161" xr:uid="{00000000-0005-0000-0000-000007110000}"/>
    <cellStyle name="Normal 81" xfId="2899" xr:uid="{00000000-0005-0000-0000-000008110000}"/>
    <cellStyle name="Normal 81 2" xfId="4162" xr:uid="{00000000-0005-0000-0000-000009110000}"/>
    <cellStyle name="Normal 82" xfId="2900" xr:uid="{00000000-0005-0000-0000-00000A110000}"/>
    <cellStyle name="Normal 82 2" xfId="4163" xr:uid="{00000000-0005-0000-0000-00000B110000}"/>
    <cellStyle name="Normal 83" xfId="2901" xr:uid="{00000000-0005-0000-0000-00000C110000}"/>
    <cellStyle name="Normal 83 2" xfId="4164" xr:uid="{00000000-0005-0000-0000-00000D110000}"/>
    <cellStyle name="Normal 84" xfId="2902" xr:uid="{00000000-0005-0000-0000-00000E110000}"/>
    <cellStyle name="Normal 84 2" xfId="4165" xr:uid="{00000000-0005-0000-0000-00000F110000}"/>
    <cellStyle name="Normal 85" xfId="2903" xr:uid="{00000000-0005-0000-0000-000010110000}"/>
    <cellStyle name="Normal 85 2" xfId="4166" xr:uid="{00000000-0005-0000-0000-000011110000}"/>
    <cellStyle name="Normal 86" xfId="2904" xr:uid="{00000000-0005-0000-0000-000012110000}"/>
    <cellStyle name="Normal 86 2" xfId="4167" xr:uid="{00000000-0005-0000-0000-000013110000}"/>
    <cellStyle name="Normal 87" xfId="2905" xr:uid="{00000000-0005-0000-0000-000014110000}"/>
    <cellStyle name="Normal 87 2" xfId="4168" xr:uid="{00000000-0005-0000-0000-000015110000}"/>
    <cellStyle name="Normal 88" xfId="2906" xr:uid="{00000000-0005-0000-0000-000016110000}"/>
    <cellStyle name="Normal 88 2" xfId="4169" xr:uid="{00000000-0005-0000-0000-000017110000}"/>
    <cellStyle name="Normal 89" xfId="2907" xr:uid="{00000000-0005-0000-0000-000018110000}"/>
    <cellStyle name="Normal 89 2" xfId="4170" xr:uid="{00000000-0005-0000-0000-000019110000}"/>
    <cellStyle name="Normal 9" xfId="341" xr:uid="{00000000-0005-0000-0000-00001A110000}"/>
    <cellStyle name="Normal 9 2" xfId="342" xr:uid="{00000000-0005-0000-0000-00001B110000}"/>
    <cellStyle name="Normal 9 2 2" xfId="472" xr:uid="{00000000-0005-0000-0000-00001C110000}"/>
    <cellStyle name="Normal 9 2 2 2" xfId="585" xr:uid="{00000000-0005-0000-0000-00001D110000}"/>
    <cellStyle name="Normal 9 2 2 2 2" xfId="839" xr:uid="{00000000-0005-0000-0000-00001E110000}"/>
    <cellStyle name="Normal 9 2 2 3" xfId="726" xr:uid="{00000000-0005-0000-0000-00001F110000}"/>
    <cellStyle name="Normal 9 2 2 4" xfId="4172" xr:uid="{00000000-0005-0000-0000-000020110000}"/>
    <cellStyle name="Normal 9 2 2 5" xfId="4726" xr:uid="{00000000-0005-0000-0000-000021110000}"/>
    <cellStyle name="Normal 9 2 3" xfId="584" xr:uid="{00000000-0005-0000-0000-000022110000}"/>
    <cellStyle name="Normal 9 2 3 2" xfId="838" xr:uid="{00000000-0005-0000-0000-000023110000}"/>
    <cellStyle name="Normal 9 2 3 3" xfId="5094" xr:uid="{00000000-0005-0000-0000-000024110000}"/>
    <cellStyle name="Normal 9 2 4" xfId="664" xr:uid="{00000000-0005-0000-0000-000025110000}"/>
    <cellStyle name="Normal 9 2 4 2" xfId="5105" xr:uid="{00000000-0005-0000-0000-000026110000}"/>
    <cellStyle name="Normal 9 2 5" xfId="3746" xr:uid="{00000000-0005-0000-0000-000027110000}"/>
    <cellStyle name="Normal 9 2 6" xfId="4725" xr:uid="{00000000-0005-0000-0000-000028110000}"/>
    <cellStyle name="Normal 9 3" xfId="2908" xr:uid="{00000000-0005-0000-0000-000029110000}"/>
    <cellStyle name="Normal 9 3 2" xfId="2909" xr:uid="{00000000-0005-0000-0000-00002A110000}"/>
    <cellStyle name="Normal 9 3 2 2" xfId="2910" xr:uid="{00000000-0005-0000-0000-00002B110000}"/>
    <cellStyle name="Normal 9 3 3" xfId="2911" xr:uid="{00000000-0005-0000-0000-00002C110000}"/>
    <cellStyle name="Normal 9 3 4" xfId="2912" xr:uid="{00000000-0005-0000-0000-00002D110000}"/>
    <cellStyle name="Normal 9 3 5" xfId="2913" xr:uid="{00000000-0005-0000-0000-00002E110000}"/>
    <cellStyle name="Normal 9 3 5 2" xfId="5115" xr:uid="{00000000-0005-0000-0000-00002F110000}"/>
    <cellStyle name="Normal 9 3 6" xfId="3747" xr:uid="{00000000-0005-0000-0000-000030110000}"/>
    <cellStyle name="Normal 9 4" xfId="2914" xr:uid="{00000000-0005-0000-0000-000031110000}"/>
    <cellStyle name="Normal 9 4 2" xfId="2915" xr:uid="{00000000-0005-0000-0000-000032110000}"/>
    <cellStyle name="Normal 9 4 3" xfId="4171" xr:uid="{00000000-0005-0000-0000-000033110000}"/>
    <cellStyle name="Normal 9 5" xfId="2916" xr:uid="{00000000-0005-0000-0000-000034110000}"/>
    <cellStyle name="Normal 9 6" xfId="2917" xr:uid="{00000000-0005-0000-0000-000035110000}"/>
    <cellStyle name="Normal 9 6 2" xfId="2918" xr:uid="{00000000-0005-0000-0000-000036110000}"/>
    <cellStyle name="Normal 9 6 2 2" xfId="2919" xr:uid="{00000000-0005-0000-0000-000037110000}"/>
    <cellStyle name="Normal 9 6 2 2 2" xfId="5474" xr:uid="{00000000-0005-0000-0000-000038110000}"/>
    <cellStyle name="Normal 9 6 2 3" xfId="5051" xr:uid="{00000000-0005-0000-0000-000039110000}"/>
    <cellStyle name="Normal 9 6 3" xfId="2920" xr:uid="{00000000-0005-0000-0000-00003A110000}"/>
    <cellStyle name="Normal 9 6 3 2" xfId="5305" xr:uid="{00000000-0005-0000-0000-00003B110000}"/>
    <cellStyle name="Normal 9 6 4" xfId="4882" xr:uid="{00000000-0005-0000-0000-00003C110000}"/>
    <cellStyle name="Normal 9 7" xfId="2921" xr:uid="{00000000-0005-0000-0000-00003D110000}"/>
    <cellStyle name="Normal 90" xfId="2922" xr:uid="{00000000-0005-0000-0000-00003E110000}"/>
    <cellStyle name="Normal 90 2" xfId="4173" xr:uid="{00000000-0005-0000-0000-00003F110000}"/>
    <cellStyle name="Normal 91" xfId="2923" xr:uid="{00000000-0005-0000-0000-000040110000}"/>
    <cellStyle name="Normal 91 2" xfId="4174" xr:uid="{00000000-0005-0000-0000-000041110000}"/>
    <cellStyle name="Normal 92" xfId="2924" xr:uid="{00000000-0005-0000-0000-000042110000}"/>
    <cellStyle name="Normal 92 2" xfId="4175" xr:uid="{00000000-0005-0000-0000-000043110000}"/>
    <cellStyle name="Normal 93" xfId="2925" xr:uid="{00000000-0005-0000-0000-000044110000}"/>
    <cellStyle name="Normal 93 2" xfId="4176" xr:uid="{00000000-0005-0000-0000-000045110000}"/>
    <cellStyle name="Normal 94" xfId="2926" xr:uid="{00000000-0005-0000-0000-000046110000}"/>
    <cellStyle name="Normal 94 2" xfId="4177" xr:uid="{00000000-0005-0000-0000-000047110000}"/>
    <cellStyle name="Normal 95" xfId="2927" xr:uid="{00000000-0005-0000-0000-000048110000}"/>
    <cellStyle name="Normal 95 2" xfId="4178" xr:uid="{00000000-0005-0000-0000-000049110000}"/>
    <cellStyle name="Normal 96" xfId="2928" xr:uid="{00000000-0005-0000-0000-00004A110000}"/>
    <cellStyle name="Normal 96 2" xfId="4179" xr:uid="{00000000-0005-0000-0000-00004B110000}"/>
    <cellStyle name="Normal 97" xfId="2929" xr:uid="{00000000-0005-0000-0000-00004C110000}"/>
    <cellStyle name="Normal 97 2" xfId="4180" xr:uid="{00000000-0005-0000-0000-00004D110000}"/>
    <cellStyle name="Normal 98" xfId="2930" xr:uid="{00000000-0005-0000-0000-00004E110000}"/>
    <cellStyle name="Normal 98 2" xfId="4181" xr:uid="{00000000-0005-0000-0000-00004F110000}"/>
    <cellStyle name="Normal 99" xfId="2931" xr:uid="{00000000-0005-0000-0000-000050110000}"/>
    <cellStyle name="Normal 99 2" xfId="4182" xr:uid="{00000000-0005-0000-0000-000051110000}"/>
    <cellStyle name="Normal_Book11" xfId="43" xr:uid="{00000000-0005-0000-0000-000052110000}"/>
    <cellStyle name="Normal_Book14" xfId="44" xr:uid="{00000000-0005-0000-0000-000054110000}"/>
    <cellStyle name="Normal_Book16" xfId="45" xr:uid="{00000000-0005-0000-0000-000055110000}"/>
    <cellStyle name="Normal_Book16 2" xfId="4594" xr:uid="{00000000-0005-0000-0000-000056110000}"/>
    <cellStyle name="Normal_Book3 2" xfId="46" xr:uid="{00000000-0005-0000-0000-000057110000}"/>
    <cellStyle name="Normal_Book4" xfId="47" xr:uid="{00000000-0005-0000-0000-000058110000}"/>
    <cellStyle name="Normal_CRDTPCT" xfId="48" xr:uid="{00000000-0005-0000-0000-000059110000}"/>
    <cellStyle name="Normal_RATECOST" xfId="49" xr:uid="{00000000-0005-0000-0000-00005A110000}"/>
    <cellStyle name="Normal_RATECOST 2" xfId="4595" xr:uid="{00000000-0005-0000-0000-00005B110000}"/>
    <cellStyle name="Normal_Table 1" xfId="50" xr:uid="{00000000-0005-0000-0000-00005C110000}"/>
    <cellStyle name="Normal_Table 1 2" xfId="51" xr:uid="{00000000-0005-0000-0000-00005D110000}"/>
    <cellStyle name="Normal_Table 1 4" xfId="52" xr:uid="{00000000-0005-0000-0000-00005F110000}"/>
    <cellStyle name="Normal_Table 2a" xfId="53" xr:uid="{00000000-0005-0000-0000-000060110000}"/>
    <cellStyle name="Normal_Table 2a 3" xfId="54" xr:uid="{00000000-0005-0000-0000-000061110000}"/>
    <cellStyle name="Normal_Table 3" xfId="55" xr:uid="{00000000-0005-0000-0000-000062110000}"/>
    <cellStyle name="Normal_Table 3 3 2" xfId="4596" xr:uid="{00000000-0005-0000-0000-000063110000}"/>
    <cellStyle name="Normal_Table 3 4" xfId="56" xr:uid="{00000000-0005-0000-0000-000064110000}"/>
    <cellStyle name="Normal_TIE_RATE" xfId="57" xr:uid="{00000000-0005-0000-0000-000066110000}"/>
    <cellStyle name="Normal_TRDS96" xfId="58" xr:uid="{00000000-0005-0000-0000-000067110000}"/>
    <cellStyle name="Normal_TRDS96 2" xfId="4597" xr:uid="{00000000-0005-0000-0000-000068110000}"/>
    <cellStyle name="Note 10" xfId="2932" xr:uid="{00000000-0005-0000-0000-000069110000}"/>
    <cellStyle name="Note 10 2" xfId="2933" xr:uid="{00000000-0005-0000-0000-00006A110000}"/>
    <cellStyle name="Note 10 2 2" xfId="2934" xr:uid="{00000000-0005-0000-0000-00006B110000}"/>
    <cellStyle name="Note 10 3" xfId="2935" xr:uid="{00000000-0005-0000-0000-00006C110000}"/>
    <cellStyle name="Note 10 4" xfId="2936" xr:uid="{00000000-0005-0000-0000-00006D110000}"/>
    <cellStyle name="Note 10 5" xfId="2937" xr:uid="{00000000-0005-0000-0000-00006E110000}"/>
    <cellStyle name="Note 11" xfId="2938" xr:uid="{00000000-0005-0000-0000-00006F110000}"/>
    <cellStyle name="Note 11 2" xfId="2939" xr:uid="{00000000-0005-0000-0000-000070110000}"/>
    <cellStyle name="Note 11 2 2" xfId="2940" xr:uid="{00000000-0005-0000-0000-000071110000}"/>
    <cellStyle name="Note 11 3" xfId="2941" xr:uid="{00000000-0005-0000-0000-000072110000}"/>
    <cellStyle name="Note 12" xfId="2942" xr:uid="{00000000-0005-0000-0000-000073110000}"/>
    <cellStyle name="Note 13" xfId="2943" xr:uid="{00000000-0005-0000-0000-000074110000}"/>
    <cellStyle name="Note 13 2" xfId="2944" xr:uid="{00000000-0005-0000-0000-000075110000}"/>
    <cellStyle name="Note 13 2 2" xfId="5492" xr:uid="{00000000-0005-0000-0000-000076110000}"/>
    <cellStyle name="Note 14" xfId="5486" xr:uid="{00000000-0005-0000-0000-000077110000}"/>
    <cellStyle name="Note 2" xfId="343" xr:uid="{00000000-0005-0000-0000-000078110000}"/>
    <cellStyle name="Note 2 2" xfId="344" xr:uid="{00000000-0005-0000-0000-000079110000}"/>
    <cellStyle name="Note 2 2 2" xfId="2945" xr:uid="{00000000-0005-0000-0000-00007A110000}"/>
    <cellStyle name="Note 2 3" xfId="345" xr:uid="{00000000-0005-0000-0000-00007B110000}"/>
    <cellStyle name="Note 2 3 2" xfId="2946" xr:uid="{00000000-0005-0000-0000-00007C110000}"/>
    <cellStyle name="Note 2 3 2 2" xfId="4184" xr:uid="{00000000-0005-0000-0000-00007D110000}"/>
    <cellStyle name="Note 2 3 3" xfId="2947" xr:uid="{00000000-0005-0000-0000-00007E110000}"/>
    <cellStyle name="Note 2 4" xfId="2948" xr:uid="{00000000-0005-0000-0000-00007F110000}"/>
    <cellStyle name="Note 2 4 2" xfId="4185" xr:uid="{00000000-0005-0000-0000-000080110000}"/>
    <cellStyle name="Note 2 5" xfId="2949" xr:uid="{00000000-0005-0000-0000-000081110000}"/>
    <cellStyle name="Note 2 5 2" xfId="4183" xr:uid="{00000000-0005-0000-0000-000082110000}"/>
    <cellStyle name="Note 2_I_Secondary" xfId="2950" xr:uid="{00000000-0005-0000-0000-000083110000}"/>
    <cellStyle name="Note 3" xfId="346" xr:uid="{00000000-0005-0000-0000-000084110000}"/>
    <cellStyle name="Note 3 2" xfId="2951" xr:uid="{00000000-0005-0000-0000-000085110000}"/>
    <cellStyle name="Note 3 2 2" xfId="2952" xr:uid="{00000000-0005-0000-0000-000086110000}"/>
    <cellStyle name="Note 3 2 3" xfId="2953" xr:uid="{00000000-0005-0000-0000-000087110000}"/>
    <cellStyle name="Note 3 2 4" xfId="2954" xr:uid="{00000000-0005-0000-0000-000088110000}"/>
    <cellStyle name="Note 3 3" xfId="4186" xr:uid="{00000000-0005-0000-0000-000089110000}"/>
    <cellStyle name="Note 4" xfId="347" xr:uid="{00000000-0005-0000-0000-00008A110000}"/>
    <cellStyle name="Note 4 2" xfId="348" xr:uid="{00000000-0005-0000-0000-00008B110000}"/>
    <cellStyle name="Note 4 2 2" xfId="474" xr:uid="{00000000-0005-0000-0000-00008C110000}"/>
    <cellStyle name="Note 4 2 2 2" xfId="588" xr:uid="{00000000-0005-0000-0000-00008D110000}"/>
    <cellStyle name="Note 4 2 2 2 2" xfId="842" xr:uid="{00000000-0005-0000-0000-00008E110000}"/>
    <cellStyle name="Note 4 2 2 3" xfId="728" xr:uid="{00000000-0005-0000-0000-00008F110000}"/>
    <cellStyle name="Note 4 2 3" xfId="587" xr:uid="{00000000-0005-0000-0000-000090110000}"/>
    <cellStyle name="Note 4 2 3 2" xfId="841" xr:uid="{00000000-0005-0000-0000-000091110000}"/>
    <cellStyle name="Note 4 2 4" xfId="666" xr:uid="{00000000-0005-0000-0000-000092110000}"/>
    <cellStyle name="Note 4 2 5" xfId="4466" xr:uid="{00000000-0005-0000-0000-000093110000}"/>
    <cellStyle name="Note 4 3" xfId="473" xr:uid="{00000000-0005-0000-0000-000094110000}"/>
    <cellStyle name="Note 4 3 2" xfId="589" xr:uid="{00000000-0005-0000-0000-000095110000}"/>
    <cellStyle name="Note 4 3 2 2" xfId="843" xr:uid="{00000000-0005-0000-0000-000096110000}"/>
    <cellStyle name="Note 4 3 3" xfId="727" xr:uid="{00000000-0005-0000-0000-000097110000}"/>
    <cellStyle name="Note 4 4" xfId="586" xr:uid="{00000000-0005-0000-0000-000098110000}"/>
    <cellStyle name="Note 4 4 2" xfId="840" xr:uid="{00000000-0005-0000-0000-000099110000}"/>
    <cellStyle name="Note 4 5" xfId="665" xr:uid="{00000000-0005-0000-0000-00009A110000}"/>
    <cellStyle name="Note 4 6" xfId="3856" xr:uid="{00000000-0005-0000-0000-00009B110000}"/>
    <cellStyle name="Note 5" xfId="349" xr:uid="{00000000-0005-0000-0000-00009C110000}"/>
    <cellStyle name="Note 5 2" xfId="2955" xr:uid="{00000000-0005-0000-0000-00009D110000}"/>
    <cellStyle name="Note 6" xfId="350" xr:uid="{00000000-0005-0000-0000-00009E110000}"/>
    <cellStyle name="Note 6 2" xfId="2956" xr:uid="{00000000-0005-0000-0000-00009F110000}"/>
    <cellStyle name="Note 7" xfId="2957" xr:uid="{00000000-0005-0000-0000-0000A0110000}"/>
    <cellStyle name="Note 7 2" xfId="2958" xr:uid="{00000000-0005-0000-0000-0000A1110000}"/>
    <cellStyle name="Note 7 3" xfId="2959" xr:uid="{00000000-0005-0000-0000-0000A2110000}"/>
    <cellStyle name="Note 8" xfId="2960" xr:uid="{00000000-0005-0000-0000-0000A3110000}"/>
    <cellStyle name="Note 8 2" xfId="2961" xr:uid="{00000000-0005-0000-0000-0000A4110000}"/>
    <cellStyle name="Note 9" xfId="2962" xr:uid="{00000000-0005-0000-0000-0000A5110000}"/>
    <cellStyle name="Note 9 2" xfId="2963" xr:uid="{00000000-0005-0000-0000-0000A6110000}"/>
    <cellStyle name="Note 9 2 2" xfId="2964" xr:uid="{00000000-0005-0000-0000-0000A7110000}"/>
    <cellStyle name="Note 9 3" xfId="2965" xr:uid="{00000000-0005-0000-0000-0000A8110000}"/>
    <cellStyle name="Note 9 4" xfId="2966" xr:uid="{00000000-0005-0000-0000-0000A9110000}"/>
    <cellStyle name="Note 9 5" xfId="2967" xr:uid="{00000000-0005-0000-0000-0000AA110000}"/>
    <cellStyle name="Output" xfId="4606" builtinId="21" customBuiltin="1"/>
    <cellStyle name="Output 2" xfId="351" xr:uid="{00000000-0005-0000-0000-0000AC110000}"/>
    <cellStyle name="Output 2 2" xfId="352" xr:uid="{00000000-0005-0000-0000-0000AD110000}"/>
    <cellStyle name="Output 2 2 2" xfId="2968" xr:uid="{00000000-0005-0000-0000-0000AE110000}"/>
    <cellStyle name="Output 2 2 2 2" xfId="2969" xr:uid="{00000000-0005-0000-0000-0000AF110000}"/>
    <cellStyle name="Output 2 2 3" xfId="2970" xr:uid="{00000000-0005-0000-0000-0000B0110000}"/>
    <cellStyle name="Output 2 2 3 2" xfId="2971" xr:uid="{00000000-0005-0000-0000-0000B1110000}"/>
    <cellStyle name="Output 2 2 4" xfId="2972" xr:uid="{00000000-0005-0000-0000-0000B2110000}"/>
    <cellStyle name="Output 2 2 5" xfId="2973" xr:uid="{00000000-0005-0000-0000-0000B3110000}"/>
    <cellStyle name="Output 2 3" xfId="353" xr:uid="{00000000-0005-0000-0000-0000B4110000}"/>
    <cellStyle name="Output 2 3 2" xfId="2974" xr:uid="{00000000-0005-0000-0000-0000B5110000}"/>
    <cellStyle name="Output 2 3 3" xfId="4727" xr:uid="{00000000-0005-0000-0000-0000B6110000}"/>
    <cellStyle name="Output 2 4" xfId="2975" xr:uid="{00000000-0005-0000-0000-0000B7110000}"/>
    <cellStyle name="Output 2 5" xfId="2976" xr:uid="{00000000-0005-0000-0000-0000B8110000}"/>
    <cellStyle name="Output 2 5 2" xfId="3748" xr:uid="{00000000-0005-0000-0000-0000B9110000}"/>
    <cellStyle name="Output 2 6" xfId="2977" xr:uid="{00000000-0005-0000-0000-0000BA110000}"/>
    <cellStyle name="Output 2_QC" xfId="2978" xr:uid="{00000000-0005-0000-0000-0000BB110000}"/>
    <cellStyle name="Output 3" xfId="354" xr:uid="{00000000-0005-0000-0000-0000BC110000}"/>
    <cellStyle name="Output 3 2" xfId="2979" xr:uid="{00000000-0005-0000-0000-0000BD110000}"/>
    <cellStyle name="Output 3 2 2" xfId="2980" xr:uid="{00000000-0005-0000-0000-0000BE110000}"/>
    <cellStyle name="Output 3 3" xfId="2981" xr:uid="{00000000-0005-0000-0000-0000BF110000}"/>
    <cellStyle name="Output 3 4" xfId="2982" xr:uid="{00000000-0005-0000-0000-0000C0110000}"/>
    <cellStyle name="Output 4" xfId="355" xr:uid="{00000000-0005-0000-0000-0000C1110000}"/>
    <cellStyle name="Output 4 2" xfId="2983" xr:uid="{00000000-0005-0000-0000-0000C2110000}"/>
    <cellStyle name="Output 4 2 2" xfId="2984" xr:uid="{00000000-0005-0000-0000-0000C3110000}"/>
    <cellStyle name="Output 4 3" xfId="2985" xr:uid="{00000000-0005-0000-0000-0000C4110000}"/>
    <cellStyle name="Output 4 4" xfId="2986" xr:uid="{00000000-0005-0000-0000-0000C5110000}"/>
    <cellStyle name="Output 5" xfId="2987" xr:uid="{00000000-0005-0000-0000-0000C6110000}"/>
    <cellStyle name="Output 5 2" xfId="2988" xr:uid="{00000000-0005-0000-0000-0000C7110000}"/>
    <cellStyle name="Output 5 2 2" xfId="2989" xr:uid="{00000000-0005-0000-0000-0000C8110000}"/>
    <cellStyle name="Output 5 3" xfId="2990" xr:uid="{00000000-0005-0000-0000-0000C9110000}"/>
    <cellStyle name="Output 6" xfId="2991" xr:uid="{00000000-0005-0000-0000-0000CA110000}"/>
    <cellStyle name="Output 6 2" xfId="2992" xr:uid="{00000000-0005-0000-0000-0000CB110000}"/>
    <cellStyle name="Output 7" xfId="2993" xr:uid="{00000000-0005-0000-0000-0000CC110000}"/>
    <cellStyle name="Output 7 2" xfId="2994" xr:uid="{00000000-0005-0000-0000-0000CD110000}"/>
    <cellStyle name="Page Number" xfId="2995" xr:uid="{00000000-0005-0000-0000-0000CE110000}"/>
    <cellStyle name="Percen - Style2" xfId="2996" xr:uid="{00000000-0005-0000-0000-0000CF110000}"/>
    <cellStyle name="Percent" xfId="59" builtinId="5"/>
    <cellStyle name="Percent [2]" xfId="2997" xr:uid="{00000000-0005-0000-0000-0000D1110000}"/>
    <cellStyle name="Percent [2] 2" xfId="2998" xr:uid="{00000000-0005-0000-0000-0000D2110000}"/>
    <cellStyle name="Percent [2] 2 2" xfId="2999" xr:uid="{00000000-0005-0000-0000-0000D3110000}"/>
    <cellStyle name="Percent [2] 3" xfId="3000" xr:uid="{00000000-0005-0000-0000-0000D4110000}"/>
    <cellStyle name="Percent [2] 3 2" xfId="3001" xr:uid="{00000000-0005-0000-0000-0000D5110000}"/>
    <cellStyle name="Percent 10" xfId="3002" xr:uid="{00000000-0005-0000-0000-0000D6110000}"/>
    <cellStyle name="Percent 10 2" xfId="3003" xr:uid="{00000000-0005-0000-0000-0000D7110000}"/>
    <cellStyle name="Percent 10 2 2" xfId="3004" xr:uid="{00000000-0005-0000-0000-0000D8110000}"/>
    <cellStyle name="Percent 10 3" xfId="3005" xr:uid="{00000000-0005-0000-0000-0000D9110000}"/>
    <cellStyle name="Percent 10 3 2" xfId="4187" xr:uid="{00000000-0005-0000-0000-0000DA110000}"/>
    <cellStyle name="Percent 10 4" xfId="3006" xr:uid="{00000000-0005-0000-0000-0000DB110000}"/>
    <cellStyle name="Percent 100" xfId="3007" xr:uid="{00000000-0005-0000-0000-0000DC110000}"/>
    <cellStyle name="Percent 100 2" xfId="3008" xr:uid="{00000000-0005-0000-0000-0000DD110000}"/>
    <cellStyle name="Percent 100 2 2" xfId="4189" xr:uid="{00000000-0005-0000-0000-0000DE110000}"/>
    <cellStyle name="Percent 100 3" xfId="4188" xr:uid="{00000000-0005-0000-0000-0000DF110000}"/>
    <cellStyle name="Percent 101" xfId="3009" xr:uid="{00000000-0005-0000-0000-0000E0110000}"/>
    <cellStyle name="Percent 101 2" xfId="3010" xr:uid="{00000000-0005-0000-0000-0000E1110000}"/>
    <cellStyle name="Percent 101 2 2" xfId="4191" xr:uid="{00000000-0005-0000-0000-0000E2110000}"/>
    <cellStyle name="Percent 101 3" xfId="4190" xr:uid="{00000000-0005-0000-0000-0000E3110000}"/>
    <cellStyle name="Percent 102" xfId="3011" xr:uid="{00000000-0005-0000-0000-0000E4110000}"/>
    <cellStyle name="Percent 102 2" xfId="3012" xr:uid="{00000000-0005-0000-0000-0000E5110000}"/>
    <cellStyle name="Percent 102 2 2" xfId="4193" xr:uid="{00000000-0005-0000-0000-0000E6110000}"/>
    <cellStyle name="Percent 102 3" xfId="4192" xr:uid="{00000000-0005-0000-0000-0000E7110000}"/>
    <cellStyle name="Percent 103" xfId="3013" xr:uid="{00000000-0005-0000-0000-0000E8110000}"/>
    <cellStyle name="Percent 103 2" xfId="3014" xr:uid="{00000000-0005-0000-0000-0000E9110000}"/>
    <cellStyle name="Percent 103 2 2" xfId="4195" xr:uid="{00000000-0005-0000-0000-0000EA110000}"/>
    <cellStyle name="Percent 103 3" xfId="4194" xr:uid="{00000000-0005-0000-0000-0000EB110000}"/>
    <cellStyle name="Percent 104" xfId="3015" xr:uid="{00000000-0005-0000-0000-0000EC110000}"/>
    <cellStyle name="Percent 104 2" xfId="3016" xr:uid="{00000000-0005-0000-0000-0000ED110000}"/>
    <cellStyle name="Percent 104 2 2" xfId="4197" xr:uid="{00000000-0005-0000-0000-0000EE110000}"/>
    <cellStyle name="Percent 104 3" xfId="4196" xr:uid="{00000000-0005-0000-0000-0000EF110000}"/>
    <cellStyle name="Percent 105" xfId="3017" xr:uid="{00000000-0005-0000-0000-0000F0110000}"/>
    <cellStyle name="Percent 105 2" xfId="3018" xr:uid="{00000000-0005-0000-0000-0000F1110000}"/>
    <cellStyle name="Percent 105 2 2" xfId="4199" xr:uid="{00000000-0005-0000-0000-0000F2110000}"/>
    <cellStyle name="Percent 105 3" xfId="4198" xr:uid="{00000000-0005-0000-0000-0000F3110000}"/>
    <cellStyle name="Percent 106" xfId="3019" xr:uid="{00000000-0005-0000-0000-0000F4110000}"/>
    <cellStyle name="Percent 106 2" xfId="4200" xr:uid="{00000000-0005-0000-0000-0000F5110000}"/>
    <cellStyle name="Percent 107" xfId="3020" xr:uid="{00000000-0005-0000-0000-0000F6110000}"/>
    <cellStyle name="Percent 107 2" xfId="4201" xr:uid="{00000000-0005-0000-0000-0000F7110000}"/>
    <cellStyle name="Percent 108" xfId="3021" xr:uid="{00000000-0005-0000-0000-0000F8110000}"/>
    <cellStyle name="Percent 108 2" xfId="4202" xr:uid="{00000000-0005-0000-0000-0000F9110000}"/>
    <cellStyle name="Percent 109" xfId="3022" xr:uid="{00000000-0005-0000-0000-0000FA110000}"/>
    <cellStyle name="Percent 109 2" xfId="4203" xr:uid="{00000000-0005-0000-0000-0000FB110000}"/>
    <cellStyle name="Percent 11" xfId="3023" xr:uid="{00000000-0005-0000-0000-0000FC110000}"/>
    <cellStyle name="Percent 11 2" xfId="3024" xr:uid="{00000000-0005-0000-0000-0000FD110000}"/>
    <cellStyle name="Percent 11 2 2" xfId="4205" xr:uid="{00000000-0005-0000-0000-0000FE110000}"/>
    <cellStyle name="Percent 11 3" xfId="3025" xr:uid="{00000000-0005-0000-0000-0000FF110000}"/>
    <cellStyle name="Percent 11 3 2" xfId="4206" xr:uid="{00000000-0005-0000-0000-000000120000}"/>
    <cellStyle name="Percent 11 4" xfId="4204" xr:uid="{00000000-0005-0000-0000-000001120000}"/>
    <cellStyle name="Percent 110" xfId="3026" xr:uid="{00000000-0005-0000-0000-000002120000}"/>
    <cellStyle name="Percent 110 2" xfId="4207" xr:uid="{00000000-0005-0000-0000-000003120000}"/>
    <cellStyle name="Percent 111" xfId="3027" xr:uid="{00000000-0005-0000-0000-000004120000}"/>
    <cellStyle name="Percent 111 2" xfId="4208" xr:uid="{00000000-0005-0000-0000-000005120000}"/>
    <cellStyle name="Percent 112" xfId="3028" xr:uid="{00000000-0005-0000-0000-000006120000}"/>
    <cellStyle name="Percent 112 2" xfId="4209" xr:uid="{00000000-0005-0000-0000-000007120000}"/>
    <cellStyle name="Percent 113" xfId="3029" xr:uid="{00000000-0005-0000-0000-000008120000}"/>
    <cellStyle name="Percent 113 2" xfId="4210" xr:uid="{00000000-0005-0000-0000-000009120000}"/>
    <cellStyle name="Percent 114" xfId="3030" xr:uid="{00000000-0005-0000-0000-00000A120000}"/>
    <cellStyle name="Percent 115" xfId="3031" xr:uid="{00000000-0005-0000-0000-00000B120000}"/>
    <cellStyle name="Percent 116" xfId="3032" xr:uid="{00000000-0005-0000-0000-00000C120000}"/>
    <cellStyle name="Percent 116 2" xfId="4211" xr:uid="{00000000-0005-0000-0000-00000D120000}"/>
    <cellStyle name="Percent 117" xfId="3033" xr:uid="{00000000-0005-0000-0000-00000E120000}"/>
    <cellStyle name="Percent 117 2" xfId="4212" xr:uid="{00000000-0005-0000-0000-00000F120000}"/>
    <cellStyle name="Percent 118" xfId="3034" xr:uid="{00000000-0005-0000-0000-000010120000}"/>
    <cellStyle name="Percent 118 2" xfId="4213" xr:uid="{00000000-0005-0000-0000-000011120000}"/>
    <cellStyle name="Percent 119" xfId="3035" xr:uid="{00000000-0005-0000-0000-000012120000}"/>
    <cellStyle name="Percent 119 2" xfId="4214" xr:uid="{00000000-0005-0000-0000-000013120000}"/>
    <cellStyle name="Percent 12" xfId="3036" xr:uid="{00000000-0005-0000-0000-000014120000}"/>
    <cellStyle name="Percent 12 2" xfId="3037" xr:uid="{00000000-0005-0000-0000-000015120000}"/>
    <cellStyle name="Percent 12 2 2" xfId="4215" xr:uid="{00000000-0005-0000-0000-000016120000}"/>
    <cellStyle name="Percent 12 3" xfId="3038" xr:uid="{00000000-0005-0000-0000-000017120000}"/>
    <cellStyle name="Percent 120" xfId="3039" xr:uid="{00000000-0005-0000-0000-000018120000}"/>
    <cellStyle name="Percent 120 2" xfId="4216" xr:uid="{00000000-0005-0000-0000-000019120000}"/>
    <cellStyle name="Percent 121" xfId="3040" xr:uid="{00000000-0005-0000-0000-00001A120000}"/>
    <cellStyle name="Percent 121 2" xfId="4217" xr:uid="{00000000-0005-0000-0000-00001B120000}"/>
    <cellStyle name="Percent 122" xfId="3041" xr:uid="{00000000-0005-0000-0000-00001C120000}"/>
    <cellStyle name="Percent 122 2" xfId="4218" xr:uid="{00000000-0005-0000-0000-00001D120000}"/>
    <cellStyle name="Percent 123" xfId="3042" xr:uid="{00000000-0005-0000-0000-00001E120000}"/>
    <cellStyle name="Percent 123 2" xfId="4219" xr:uid="{00000000-0005-0000-0000-00001F120000}"/>
    <cellStyle name="Percent 124" xfId="3043" xr:uid="{00000000-0005-0000-0000-000020120000}"/>
    <cellStyle name="Percent 124 2" xfId="4220" xr:uid="{00000000-0005-0000-0000-000021120000}"/>
    <cellStyle name="Percent 125" xfId="3044" xr:uid="{00000000-0005-0000-0000-000022120000}"/>
    <cellStyle name="Percent 125 2" xfId="4221" xr:uid="{00000000-0005-0000-0000-000023120000}"/>
    <cellStyle name="Percent 126" xfId="3045" xr:uid="{00000000-0005-0000-0000-000024120000}"/>
    <cellStyle name="Percent 126 2" xfId="4222" xr:uid="{00000000-0005-0000-0000-000025120000}"/>
    <cellStyle name="Percent 127" xfId="3046" xr:uid="{00000000-0005-0000-0000-000026120000}"/>
    <cellStyle name="Percent 127 2" xfId="4223" xr:uid="{00000000-0005-0000-0000-000027120000}"/>
    <cellStyle name="Percent 128" xfId="3047" xr:uid="{00000000-0005-0000-0000-000028120000}"/>
    <cellStyle name="Percent 128 2" xfId="4224" xr:uid="{00000000-0005-0000-0000-000029120000}"/>
    <cellStyle name="Percent 129" xfId="3048" xr:uid="{00000000-0005-0000-0000-00002A120000}"/>
    <cellStyle name="Percent 129 2" xfId="4225" xr:uid="{00000000-0005-0000-0000-00002B120000}"/>
    <cellStyle name="Percent 13" xfId="3049" xr:uid="{00000000-0005-0000-0000-00002C120000}"/>
    <cellStyle name="Percent 13 2" xfId="3050" xr:uid="{00000000-0005-0000-0000-00002D120000}"/>
    <cellStyle name="Percent 13 2 2" xfId="4226" xr:uid="{00000000-0005-0000-0000-00002E120000}"/>
    <cellStyle name="Percent 13 3" xfId="3051" xr:uid="{00000000-0005-0000-0000-00002F120000}"/>
    <cellStyle name="Percent 13 4" xfId="3052" xr:uid="{00000000-0005-0000-0000-000030120000}"/>
    <cellStyle name="Percent 130" xfId="3053" xr:uid="{00000000-0005-0000-0000-000031120000}"/>
    <cellStyle name="Percent 130 2" xfId="4227" xr:uid="{00000000-0005-0000-0000-000032120000}"/>
    <cellStyle name="Percent 131" xfId="3054" xr:uid="{00000000-0005-0000-0000-000033120000}"/>
    <cellStyle name="Percent 131 2" xfId="4228" xr:uid="{00000000-0005-0000-0000-000034120000}"/>
    <cellStyle name="Percent 132" xfId="3055" xr:uid="{00000000-0005-0000-0000-000035120000}"/>
    <cellStyle name="Percent 132 2" xfId="3056" xr:uid="{00000000-0005-0000-0000-000036120000}"/>
    <cellStyle name="Percent 132 2 2" xfId="4230" xr:uid="{00000000-0005-0000-0000-000037120000}"/>
    <cellStyle name="Percent 132 3" xfId="4229" xr:uid="{00000000-0005-0000-0000-000038120000}"/>
    <cellStyle name="Percent 133" xfId="3057" xr:uid="{00000000-0005-0000-0000-000039120000}"/>
    <cellStyle name="Percent 133 2" xfId="3058" xr:uid="{00000000-0005-0000-0000-00003A120000}"/>
    <cellStyle name="Percent 133 2 2" xfId="4232" xr:uid="{00000000-0005-0000-0000-00003B120000}"/>
    <cellStyle name="Percent 133 3" xfId="4231" xr:uid="{00000000-0005-0000-0000-00003C120000}"/>
    <cellStyle name="Percent 134" xfId="3059" xr:uid="{00000000-0005-0000-0000-00003D120000}"/>
    <cellStyle name="Percent 134 2" xfId="3060" xr:uid="{00000000-0005-0000-0000-00003E120000}"/>
    <cellStyle name="Percent 134 2 2" xfId="4234" xr:uid="{00000000-0005-0000-0000-00003F120000}"/>
    <cellStyle name="Percent 134 3" xfId="4233" xr:uid="{00000000-0005-0000-0000-000040120000}"/>
    <cellStyle name="Percent 135" xfId="3061" xr:uid="{00000000-0005-0000-0000-000041120000}"/>
    <cellStyle name="Percent 135 2" xfId="3062" xr:uid="{00000000-0005-0000-0000-000042120000}"/>
    <cellStyle name="Percent 135 3" xfId="3063" xr:uid="{00000000-0005-0000-0000-000043120000}"/>
    <cellStyle name="Percent 135 3 2" xfId="3064" xr:uid="{00000000-0005-0000-0000-000044120000}"/>
    <cellStyle name="Percent 135 3 3" xfId="3065" xr:uid="{00000000-0005-0000-0000-000045120000}"/>
    <cellStyle name="Percent 136" xfId="3066" xr:uid="{00000000-0005-0000-0000-000046120000}"/>
    <cellStyle name="Percent 136 2" xfId="4235" xr:uid="{00000000-0005-0000-0000-000047120000}"/>
    <cellStyle name="Percent 137" xfId="3067" xr:uid="{00000000-0005-0000-0000-000048120000}"/>
    <cellStyle name="Percent 137 2" xfId="4236" xr:uid="{00000000-0005-0000-0000-000049120000}"/>
    <cellStyle name="Percent 138" xfId="3068" xr:uid="{00000000-0005-0000-0000-00004A120000}"/>
    <cellStyle name="Percent 138 2" xfId="4237" xr:uid="{00000000-0005-0000-0000-00004B120000}"/>
    <cellStyle name="Percent 139" xfId="3069" xr:uid="{00000000-0005-0000-0000-00004C120000}"/>
    <cellStyle name="Percent 139 2" xfId="4238" xr:uid="{00000000-0005-0000-0000-00004D120000}"/>
    <cellStyle name="Percent 14" xfId="3070" xr:uid="{00000000-0005-0000-0000-00004E120000}"/>
    <cellStyle name="Percent 14 2" xfId="3071" xr:uid="{00000000-0005-0000-0000-00004F120000}"/>
    <cellStyle name="Percent 14 3" xfId="3072" xr:uid="{00000000-0005-0000-0000-000050120000}"/>
    <cellStyle name="Percent 14 4" xfId="3073" xr:uid="{00000000-0005-0000-0000-000051120000}"/>
    <cellStyle name="Percent 140" xfId="3074" xr:uid="{00000000-0005-0000-0000-000052120000}"/>
    <cellStyle name="Percent 140 2" xfId="4239" xr:uid="{00000000-0005-0000-0000-000053120000}"/>
    <cellStyle name="Percent 141" xfId="3075" xr:uid="{00000000-0005-0000-0000-000054120000}"/>
    <cellStyle name="Percent 141 2" xfId="4240" xr:uid="{00000000-0005-0000-0000-000055120000}"/>
    <cellStyle name="Percent 142" xfId="3076" xr:uid="{00000000-0005-0000-0000-000056120000}"/>
    <cellStyle name="Percent 143" xfId="3077" xr:uid="{00000000-0005-0000-0000-000057120000}"/>
    <cellStyle name="Percent 144" xfId="3078" xr:uid="{00000000-0005-0000-0000-000058120000}"/>
    <cellStyle name="Percent 145" xfId="3079" xr:uid="{00000000-0005-0000-0000-000059120000}"/>
    <cellStyle name="Percent 145 2" xfId="3080" xr:uid="{00000000-0005-0000-0000-00005A120000}"/>
    <cellStyle name="Percent 145 2 2" xfId="3081" xr:uid="{00000000-0005-0000-0000-00005B120000}"/>
    <cellStyle name="Percent 145 3" xfId="3082" xr:uid="{00000000-0005-0000-0000-00005C120000}"/>
    <cellStyle name="Percent 145 3 2" xfId="4242" xr:uid="{00000000-0005-0000-0000-00005D120000}"/>
    <cellStyle name="Percent 145 4" xfId="3083" xr:uid="{00000000-0005-0000-0000-00005E120000}"/>
    <cellStyle name="Percent 145 4 2" xfId="3084" xr:uid="{00000000-0005-0000-0000-00005F120000}"/>
    <cellStyle name="Percent 145 4 3" xfId="3085" xr:uid="{00000000-0005-0000-0000-000060120000}"/>
    <cellStyle name="Percent 145 5" xfId="4241" xr:uid="{00000000-0005-0000-0000-000061120000}"/>
    <cellStyle name="Percent 146" xfId="3086" xr:uid="{00000000-0005-0000-0000-000062120000}"/>
    <cellStyle name="Percent 146 2" xfId="4243" xr:uid="{00000000-0005-0000-0000-000063120000}"/>
    <cellStyle name="Percent 147" xfId="3087" xr:uid="{00000000-0005-0000-0000-000064120000}"/>
    <cellStyle name="Percent 147 2" xfId="3088" xr:uid="{00000000-0005-0000-0000-000065120000}"/>
    <cellStyle name="Percent 148" xfId="3089" xr:uid="{00000000-0005-0000-0000-000066120000}"/>
    <cellStyle name="Percent 148 2" xfId="3090" xr:uid="{00000000-0005-0000-0000-000067120000}"/>
    <cellStyle name="Percent 149" xfId="3091" xr:uid="{00000000-0005-0000-0000-000068120000}"/>
    <cellStyle name="Percent 149 2" xfId="3092" xr:uid="{00000000-0005-0000-0000-000069120000}"/>
    <cellStyle name="Percent 15" xfId="3093" xr:uid="{00000000-0005-0000-0000-00006A120000}"/>
    <cellStyle name="Percent 15 2" xfId="3094" xr:uid="{00000000-0005-0000-0000-00006B120000}"/>
    <cellStyle name="Percent 15 2 2" xfId="4244" xr:uid="{00000000-0005-0000-0000-00006C120000}"/>
    <cellStyle name="Percent 15 3" xfId="3095" xr:uid="{00000000-0005-0000-0000-00006D120000}"/>
    <cellStyle name="Percent 15 4" xfId="3096" xr:uid="{00000000-0005-0000-0000-00006E120000}"/>
    <cellStyle name="Percent 150" xfId="3097" xr:uid="{00000000-0005-0000-0000-00006F120000}"/>
    <cellStyle name="Percent 150 2" xfId="3098" xr:uid="{00000000-0005-0000-0000-000070120000}"/>
    <cellStyle name="Percent 151" xfId="3099" xr:uid="{00000000-0005-0000-0000-000071120000}"/>
    <cellStyle name="Percent 151 2" xfId="4245" xr:uid="{00000000-0005-0000-0000-000072120000}"/>
    <cellStyle name="Percent 152" xfId="3100" xr:uid="{00000000-0005-0000-0000-000073120000}"/>
    <cellStyle name="Percent 152 2" xfId="4246" xr:uid="{00000000-0005-0000-0000-000074120000}"/>
    <cellStyle name="Percent 153" xfId="3101" xr:uid="{00000000-0005-0000-0000-000075120000}"/>
    <cellStyle name="Percent 153 2" xfId="4247" xr:uid="{00000000-0005-0000-0000-000076120000}"/>
    <cellStyle name="Percent 154" xfId="3102" xr:uid="{00000000-0005-0000-0000-000077120000}"/>
    <cellStyle name="Percent 154 2" xfId="4248" xr:uid="{00000000-0005-0000-0000-000078120000}"/>
    <cellStyle name="Percent 155" xfId="3103" xr:uid="{00000000-0005-0000-0000-000079120000}"/>
    <cellStyle name="Percent 155 2" xfId="4249" xr:uid="{00000000-0005-0000-0000-00007A120000}"/>
    <cellStyle name="Percent 156" xfId="3104" xr:uid="{00000000-0005-0000-0000-00007B120000}"/>
    <cellStyle name="Percent 156 2" xfId="4250" xr:uid="{00000000-0005-0000-0000-00007C120000}"/>
    <cellStyle name="Percent 157" xfId="3105" xr:uid="{00000000-0005-0000-0000-00007D120000}"/>
    <cellStyle name="Percent 157 2" xfId="4251" xr:uid="{00000000-0005-0000-0000-00007E120000}"/>
    <cellStyle name="Percent 158" xfId="3106" xr:uid="{00000000-0005-0000-0000-00007F120000}"/>
    <cellStyle name="Percent 158 2" xfId="4252" xr:uid="{00000000-0005-0000-0000-000080120000}"/>
    <cellStyle name="Percent 159" xfId="3107" xr:uid="{00000000-0005-0000-0000-000081120000}"/>
    <cellStyle name="Percent 159 2" xfId="4253" xr:uid="{00000000-0005-0000-0000-000082120000}"/>
    <cellStyle name="Percent 16" xfId="3108" xr:uid="{00000000-0005-0000-0000-000083120000}"/>
    <cellStyle name="Percent 16 2" xfId="3109" xr:uid="{00000000-0005-0000-0000-000084120000}"/>
    <cellStyle name="Percent 16 3" xfId="3110" xr:uid="{00000000-0005-0000-0000-000085120000}"/>
    <cellStyle name="Percent 16 3 2" xfId="3111" xr:uid="{00000000-0005-0000-0000-000086120000}"/>
    <cellStyle name="Percent 160" xfId="3112" xr:uid="{00000000-0005-0000-0000-000087120000}"/>
    <cellStyle name="Percent 160 2" xfId="4254" xr:uid="{00000000-0005-0000-0000-000088120000}"/>
    <cellStyle name="Percent 161" xfId="3113" xr:uid="{00000000-0005-0000-0000-000089120000}"/>
    <cellStyle name="Percent 161 2" xfId="4255" xr:uid="{00000000-0005-0000-0000-00008A120000}"/>
    <cellStyle name="Percent 162" xfId="3114" xr:uid="{00000000-0005-0000-0000-00008B120000}"/>
    <cellStyle name="Percent 162 2" xfId="4256" xr:uid="{00000000-0005-0000-0000-00008C120000}"/>
    <cellStyle name="Percent 163" xfId="3115" xr:uid="{00000000-0005-0000-0000-00008D120000}"/>
    <cellStyle name="Percent 164" xfId="3116" xr:uid="{00000000-0005-0000-0000-00008E120000}"/>
    <cellStyle name="Percent 164 2" xfId="4257" xr:uid="{00000000-0005-0000-0000-00008F120000}"/>
    <cellStyle name="Percent 165" xfId="3117" xr:uid="{00000000-0005-0000-0000-000090120000}"/>
    <cellStyle name="Percent 166" xfId="3118" xr:uid="{00000000-0005-0000-0000-000091120000}"/>
    <cellStyle name="Percent 166 2" xfId="3119" xr:uid="{00000000-0005-0000-0000-000092120000}"/>
    <cellStyle name="Percent 166 2 2" xfId="4467" xr:uid="{00000000-0005-0000-0000-000093120000}"/>
    <cellStyle name="Percent 166 3" xfId="4258" xr:uid="{00000000-0005-0000-0000-000094120000}"/>
    <cellStyle name="Percent 167" xfId="3120" xr:uid="{00000000-0005-0000-0000-000095120000}"/>
    <cellStyle name="Percent 167 2" xfId="4259" xr:uid="{00000000-0005-0000-0000-000096120000}"/>
    <cellStyle name="Percent 168" xfId="3121" xr:uid="{00000000-0005-0000-0000-000097120000}"/>
    <cellStyle name="Percent 168 2" xfId="3122" xr:uid="{00000000-0005-0000-0000-000098120000}"/>
    <cellStyle name="Percent 168 2 2" xfId="4468" xr:uid="{00000000-0005-0000-0000-000099120000}"/>
    <cellStyle name="Percent 168 3" xfId="4260" xr:uid="{00000000-0005-0000-0000-00009A120000}"/>
    <cellStyle name="Percent 169" xfId="3123" xr:uid="{00000000-0005-0000-0000-00009B120000}"/>
    <cellStyle name="Percent 169 2" xfId="3124" xr:uid="{00000000-0005-0000-0000-00009C120000}"/>
    <cellStyle name="Percent 169 2 2" xfId="4469" xr:uid="{00000000-0005-0000-0000-00009D120000}"/>
    <cellStyle name="Percent 169 3" xfId="4261" xr:uid="{00000000-0005-0000-0000-00009E120000}"/>
    <cellStyle name="Percent 17" xfId="3125" xr:uid="{00000000-0005-0000-0000-00009F120000}"/>
    <cellStyle name="Percent 17 2" xfId="3126" xr:uid="{00000000-0005-0000-0000-0000A0120000}"/>
    <cellStyle name="Percent 17 2 2" xfId="4262" xr:uid="{00000000-0005-0000-0000-0000A1120000}"/>
    <cellStyle name="Percent 17 3" xfId="3127" xr:uid="{00000000-0005-0000-0000-0000A2120000}"/>
    <cellStyle name="Percent 17 3 2" xfId="3128" xr:uid="{00000000-0005-0000-0000-0000A3120000}"/>
    <cellStyle name="Percent 17 4" xfId="3129" xr:uid="{00000000-0005-0000-0000-0000A4120000}"/>
    <cellStyle name="Percent 170" xfId="3130" xr:uid="{00000000-0005-0000-0000-0000A5120000}"/>
    <cellStyle name="Percent 170 2" xfId="4263" xr:uid="{00000000-0005-0000-0000-0000A6120000}"/>
    <cellStyle name="Percent 171" xfId="3131" xr:uid="{00000000-0005-0000-0000-0000A7120000}"/>
    <cellStyle name="Percent 171 2" xfId="4264" xr:uid="{00000000-0005-0000-0000-0000A8120000}"/>
    <cellStyle name="Percent 172" xfId="3132" xr:uid="{00000000-0005-0000-0000-0000A9120000}"/>
    <cellStyle name="Percent 172 2" xfId="4265" xr:uid="{00000000-0005-0000-0000-0000AA120000}"/>
    <cellStyle name="Percent 173" xfId="3133" xr:uid="{00000000-0005-0000-0000-0000AB120000}"/>
    <cellStyle name="Percent 173 2" xfId="4266" xr:uid="{00000000-0005-0000-0000-0000AC120000}"/>
    <cellStyle name="Percent 174" xfId="3134" xr:uid="{00000000-0005-0000-0000-0000AD120000}"/>
    <cellStyle name="Percent 174 2" xfId="4267" xr:uid="{00000000-0005-0000-0000-0000AE120000}"/>
    <cellStyle name="Percent 175" xfId="3135" xr:uid="{00000000-0005-0000-0000-0000AF120000}"/>
    <cellStyle name="Percent 175 2" xfId="4268" xr:uid="{00000000-0005-0000-0000-0000B0120000}"/>
    <cellStyle name="Percent 176" xfId="3136" xr:uid="{00000000-0005-0000-0000-0000B1120000}"/>
    <cellStyle name="Percent 176 2" xfId="4269" xr:uid="{00000000-0005-0000-0000-0000B2120000}"/>
    <cellStyle name="Percent 177" xfId="3137" xr:uid="{00000000-0005-0000-0000-0000B3120000}"/>
    <cellStyle name="Percent 177 2" xfId="4270" xr:uid="{00000000-0005-0000-0000-0000B4120000}"/>
    <cellStyle name="Percent 178" xfId="3138" xr:uid="{00000000-0005-0000-0000-0000B5120000}"/>
    <cellStyle name="Percent 178 2" xfId="3860" xr:uid="{00000000-0005-0000-0000-0000B6120000}"/>
    <cellStyle name="Percent 178 2 2" xfId="4470" xr:uid="{00000000-0005-0000-0000-0000B7120000}"/>
    <cellStyle name="Percent 179" xfId="3139" xr:uid="{00000000-0005-0000-0000-0000B8120000}"/>
    <cellStyle name="Percent 179 2" xfId="3861" xr:uid="{00000000-0005-0000-0000-0000B9120000}"/>
    <cellStyle name="Percent 179 2 2" xfId="4471" xr:uid="{00000000-0005-0000-0000-0000BA120000}"/>
    <cellStyle name="Percent 18" xfId="3140" xr:uid="{00000000-0005-0000-0000-0000BB120000}"/>
    <cellStyle name="Percent 18 2" xfId="3141" xr:uid="{00000000-0005-0000-0000-0000BC120000}"/>
    <cellStyle name="Percent 18 3" xfId="3142" xr:uid="{00000000-0005-0000-0000-0000BD120000}"/>
    <cellStyle name="Percent 18 3 2" xfId="3143" xr:uid="{00000000-0005-0000-0000-0000BE120000}"/>
    <cellStyle name="Percent 18 3 3" xfId="3144" xr:uid="{00000000-0005-0000-0000-0000BF120000}"/>
    <cellStyle name="Percent 18 3 3 2" xfId="3145" xr:uid="{00000000-0005-0000-0000-0000C0120000}"/>
    <cellStyle name="Percent 18 3 3 3" xfId="3146" xr:uid="{00000000-0005-0000-0000-0000C1120000}"/>
    <cellStyle name="Percent 18 4" xfId="3147" xr:uid="{00000000-0005-0000-0000-0000C2120000}"/>
    <cellStyle name="Percent 18 5" xfId="3749" xr:uid="{00000000-0005-0000-0000-0000C3120000}"/>
    <cellStyle name="Percent 180" xfId="3148" xr:uid="{00000000-0005-0000-0000-0000C4120000}"/>
    <cellStyle name="Percent 180 2" xfId="3862" xr:uid="{00000000-0005-0000-0000-0000C5120000}"/>
    <cellStyle name="Percent 180 2 2" xfId="4472" xr:uid="{00000000-0005-0000-0000-0000C6120000}"/>
    <cellStyle name="Percent 181" xfId="3149" xr:uid="{00000000-0005-0000-0000-0000C7120000}"/>
    <cellStyle name="Percent 181 2" xfId="4473" xr:uid="{00000000-0005-0000-0000-0000C8120000}"/>
    <cellStyle name="Percent 182" xfId="3150" xr:uid="{00000000-0005-0000-0000-0000C9120000}"/>
    <cellStyle name="Percent 182 2" xfId="4474" xr:uid="{00000000-0005-0000-0000-0000CA120000}"/>
    <cellStyle name="Percent 183" xfId="3151" xr:uid="{00000000-0005-0000-0000-0000CB120000}"/>
    <cellStyle name="Percent 184" xfId="3152" xr:uid="{00000000-0005-0000-0000-0000CC120000}"/>
    <cellStyle name="Percent 184 2" xfId="4475" xr:uid="{00000000-0005-0000-0000-0000CD120000}"/>
    <cellStyle name="Percent 185" xfId="3153" xr:uid="{00000000-0005-0000-0000-0000CE120000}"/>
    <cellStyle name="Percent 185 2" xfId="4476" xr:uid="{00000000-0005-0000-0000-0000CF120000}"/>
    <cellStyle name="Percent 186" xfId="3154" xr:uid="{00000000-0005-0000-0000-0000D0120000}"/>
    <cellStyle name="Percent 186 2" xfId="4477" xr:uid="{00000000-0005-0000-0000-0000D1120000}"/>
    <cellStyle name="Percent 187" xfId="3155" xr:uid="{00000000-0005-0000-0000-0000D2120000}"/>
    <cellStyle name="Percent 187 2" xfId="4478" xr:uid="{00000000-0005-0000-0000-0000D3120000}"/>
    <cellStyle name="Percent 188" xfId="3156" xr:uid="{00000000-0005-0000-0000-0000D4120000}"/>
    <cellStyle name="Percent 188 2" xfId="4479" xr:uid="{00000000-0005-0000-0000-0000D5120000}"/>
    <cellStyle name="Percent 189" xfId="3157" xr:uid="{00000000-0005-0000-0000-0000D6120000}"/>
    <cellStyle name="Percent 189 2" xfId="4480" xr:uid="{00000000-0005-0000-0000-0000D7120000}"/>
    <cellStyle name="Percent 19" xfId="3158" xr:uid="{00000000-0005-0000-0000-0000D8120000}"/>
    <cellStyle name="Percent 19 2" xfId="3159" xr:uid="{00000000-0005-0000-0000-0000D9120000}"/>
    <cellStyle name="Percent 19 2 2" xfId="3160" xr:uid="{00000000-0005-0000-0000-0000DA120000}"/>
    <cellStyle name="Percent 19 2 2 2" xfId="3161" xr:uid="{00000000-0005-0000-0000-0000DB120000}"/>
    <cellStyle name="Percent 19 2 2 2 2" xfId="5476" xr:uid="{00000000-0005-0000-0000-0000DC120000}"/>
    <cellStyle name="Percent 19 2 2 3" xfId="5053" xr:uid="{00000000-0005-0000-0000-0000DD120000}"/>
    <cellStyle name="Percent 19 2 3" xfId="3162" xr:uid="{00000000-0005-0000-0000-0000DE120000}"/>
    <cellStyle name="Percent 19 2 3 2" xfId="5276" xr:uid="{00000000-0005-0000-0000-0000DF120000}"/>
    <cellStyle name="Percent 19 2 4" xfId="4271" xr:uid="{00000000-0005-0000-0000-0000E0120000}"/>
    <cellStyle name="Percent 19 2 5" xfId="4853" xr:uid="{00000000-0005-0000-0000-0000E1120000}"/>
    <cellStyle name="Percent 19 3" xfId="3163" xr:uid="{00000000-0005-0000-0000-0000E2120000}"/>
    <cellStyle name="Percent 19 3 2" xfId="3164" xr:uid="{00000000-0005-0000-0000-0000E3120000}"/>
    <cellStyle name="Percent 19 4" xfId="3165" xr:uid="{00000000-0005-0000-0000-0000E4120000}"/>
    <cellStyle name="Percent 19 4 2" xfId="3166" xr:uid="{00000000-0005-0000-0000-0000E5120000}"/>
    <cellStyle name="Percent 19 4 2 2" xfId="5475" xr:uid="{00000000-0005-0000-0000-0000E6120000}"/>
    <cellStyle name="Percent 19 4 3" xfId="5052" xr:uid="{00000000-0005-0000-0000-0000E7120000}"/>
    <cellStyle name="Percent 19 5" xfId="3167" xr:uid="{00000000-0005-0000-0000-0000E8120000}"/>
    <cellStyle name="Percent 19 6" xfId="3168" xr:uid="{00000000-0005-0000-0000-0000E9120000}"/>
    <cellStyle name="Percent 19 6 2" xfId="5138" xr:uid="{00000000-0005-0000-0000-0000EA120000}"/>
    <cellStyle name="Percent 19 7" xfId="4687" xr:uid="{00000000-0005-0000-0000-0000EB120000}"/>
    <cellStyle name="Percent 190" xfId="3169" xr:uid="{00000000-0005-0000-0000-0000EC120000}"/>
    <cellStyle name="Percent 190 2" xfId="4481" xr:uid="{00000000-0005-0000-0000-0000ED120000}"/>
    <cellStyle name="Percent 191" xfId="3170" xr:uid="{00000000-0005-0000-0000-0000EE120000}"/>
    <cellStyle name="Percent 191 2" xfId="4482" xr:uid="{00000000-0005-0000-0000-0000EF120000}"/>
    <cellStyle name="Percent 192" xfId="3171" xr:uid="{00000000-0005-0000-0000-0000F0120000}"/>
    <cellStyle name="Percent 192 2" xfId="4483" xr:uid="{00000000-0005-0000-0000-0000F1120000}"/>
    <cellStyle name="Percent 193" xfId="3172" xr:uid="{00000000-0005-0000-0000-0000F2120000}"/>
    <cellStyle name="Percent 193 2" xfId="3173" xr:uid="{00000000-0005-0000-0000-0000F3120000}"/>
    <cellStyle name="Percent 193 2 2" xfId="4484" xr:uid="{00000000-0005-0000-0000-0000F4120000}"/>
    <cellStyle name="Percent 193 2 3" xfId="5485" xr:uid="{00000000-0005-0000-0000-0000F5120000}"/>
    <cellStyle name="Percent 194" xfId="3174" xr:uid="{00000000-0005-0000-0000-0000F6120000}"/>
    <cellStyle name="Percent 194 2" xfId="4394" xr:uid="{00000000-0005-0000-0000-0000F7120000}"/>
    <cellStyle name="Percent 195" xfId="3175" xr:uid="{00000000-0005-0000-0000-0000F8120000}"/>
    <cellStyle name="Percent 195 2" xfId="4487" xr:uid="{00000000-0005-0000-0000-0000F9120000}"/>
    <cellStyle name="Percent 196" xfId="3176" xr:uid="{00000000-0005-0000-0000-0000FA120000}"/>
    <cellStyle name="Percent 197" xfId="3177" xr:uid="{00000000-0005-0000-0000-0000FB120000}"/>
    <cellStyle name="Percent 197 2" xfId="3884" xr:uid="{00000000-0005-0000-0000-0000FC120000}"/>
    <cellStyle name="Percent 198" xfId="3178" xr:uid="{00000000-0005-0000-0000-0000FD120000}"/>
    <cellStyle name="Percent 198 2" xfId="4492" xr:uid="{00000000-0005-0000-0000-0000FE120000}"/>
    <cellStyle name="Percent 199" xfId="3179" xr:uid="{00000000-0005-0000-0000-0000FF120000}"/>
    <cellStyle name="Percent 199 2" xfId="4489" xr:uid="{00000000-0005-0000-0000-000000130000}"/>
    <cellStyle name="Percent 2" xfId="60" xr:uid="{00000000-0005-0000-0000-000001130000}"/>
    <cellStyle name="Percent 2 2" xfId="356" xr:uid="{00000000-0005-0000-0000-000002130000}"/>
    <cellStyle name="Percent 2 2 2" xfId="357" xr:uid="{00000000-0005-0000-0000-000003130000}"/>
    <cellStyle name="Percent 2 2 2 2" xfId="358" xr:uid="{00000000-0005-0000-0000-000004130000}"/>
    <cellStyle name="Percent 2 2 2 2 2" xfId="477" xr:uid="{00000000-0005-0000-0000-000005130000}"/>
    <cellStyle name="Percent 2 2 2 2 2 2" xfId="593" xr:uid="{00000000-0005-0000-0000-000006130000}"/>
    <cellStyle name="Percent 2 2 2 2 2 2 2" xfId="847" xr:uid="{00000000-0005-0000-0000-000007130000}"/>
    <cellStyle name="Percent 2 2 2 2 2 3" xfId="731" xr:uid="{00000000-0005-0000-0000-000008130000}"/>
    <cellStyle name="Percent 2 2 2 2 2 4" xfId="3751" xr:uid="{00000000-0005-0000-0000-000009130000}"/>
    <cellStyle name="Percent 2 2 2 2 3" xfId="592" xr:uid="{00000000-0005-0000-0000-00000A130000}"/>
    <cellStyle name="Percent 2 2 2 2 3 2" xfId="846" xr:uid="{00000000-0005-0000-0000-00000B130000}"/>
    <cellStyle name="Percent 2 2 2 2 3 2 2" xfId="3863" xr:uid="{00000000-0005-0000-0000-00000C130000}"/>
    <cellStyle name="Percent 2 2 2 2 3 3" xfId="3180" xr:uid="{00000000-0005-0000-0000-00000D130000}"/>
    <cellStyle name="Percent 2 2 2 2 4" xfId="669" xr:uid="{00000000-0005-0000-0000-00000E130000}"/>
    <cellStyle name="Percent 2 2 2 3" xfId="359" xr:uid="{00000000-0005-0000-0000-00000F130000}"/>
    <cellStyle name="Percent 2 2 2 3 2" xfId="478" xr:uid="{00000000-0005-0000-0000-000010130000}"/>
    <cellStyle name="Percent 2 2 2 3 2 2" xfId="595" xr:uid="{00000000-0005-0000-0000-000011130000}"/>
    <cellStyle name="Percent 2 2 2 3 2 2 2" xfId="849" xr:uid="{00000000-0005-0000-0000-000012130000}"/>
    <cellStyle name="Percent 2 2 2 3 2 3" xfId="732" xr:uid="{00000000-0005-0000-0000-000013130000}"/>
    <cellStyle name="Percent 2 2 2 3 3" xfId="594" xr:uid="{00000000-0005-0000-0000-000014130000}"/>
    <cellStyle name="Percent 2 2 2 3 3 2" xfId="848" xr:uid="{00000000-0005-0000-0000-000015130000}"/>
    <cellStyle name="Percent 2 2 2 3 4" xfId="670" xr:uid="{00000000-0005-0000-0000-000016130000}"/>
    <cellStyle name="Percent 2 2 2 3 5" xfId="3752" xr:uid="{00000000-0005-0000-0000-000017130000}"/>
    <cellStyle name="Percent 2 2 2 4" xfId="476" xr:uid="{00000000-0005-0000-0000-000018130000}"/>
    <cellStyle name="Percent 2 2 2 4 2" xfId="596" xr:uid="{00000000-0005-0000-0000-000019130000}"/>
    <cellStyle name="Percent 2 2 2 4 2 2" xfId="850" xr:uid="{00000000-0005-0000-0000-00001A130000}"/>
    <cellStyle name="Percent 2 2 2 4 2 3" xfId="3864" xr:uid="{00000000-0005-0000-0000-00001B130000}"/>
    <cellStyle name="Percent 2 2 2 4 3" xfId="730" xr:uid="{00000000-0005-0000-0000-00001C130000}"/>
    <cellStyle name="Percent 2 2 2 4 3 2" xfId="3865" xr:uid="{00000000-0005-0000-0000-00001D130000}"/>
    <cellStyle name="Percent 2 2 2 4 4" xfId="3753" xr:uid="{00000000-0005-0000-0000-00001E130000}"/>
    <cellStyle name="Percent 2 2 2 5" xfId="591" xr:uid="{00000000-0005-0000-0000-00001F130000}"/>
    <cellStyle name="Percent 2 2 2 5 2" xfId="845" xr:uid="{00000000-0005-0000-0000-000020130000}"/>
    <cellStyle name="Percent 2 2 2 5 2 2" xfId="3866" xr:uid="{00000000-0005-0000-0000-000021130000}"/>
    <cellStyle name="Percent 2 2 2 5 3" xfId="3754" xr:uid="{00000000-0005-0000-0000-000022130000}"/>
    <cellStyle name="Percent 2 2 2 6" xfId="668" xr:uid="{00000000-0005-0000-0000-000023130000}"/>
    <cellStyle name="Percent 2 2 2 6 2" xfId="5129" xr:uid="{00000000-0005-0000-0000-000024130000}"/>
    <cellStyle name="Percent 2 2 2 7" xfId="3750" xr:uid="{00000000-0005-0000-0000-000025130000}"/>
    <cellStyle name="Percent 2 2 2 8" xfId="4776" xr:uid="{00000000-0005-0000-0000-000026130000}"/>
    <cellStyle name="Percent 2 2 3" xfId="360" xr:uid="{00000000-0005-0000-0000-000027130000}"/>
    <cellStyle name="Percent 2 2 3 2" xfId="479" xr:uid="{00000000-0005-0000-0000-000028130000}"/>
    <cellStyle name="Percent 2 2 3 2 2" xfId="598" xr:uid="{00000000-0005-0000-0000-000029130000}"/>
    <cellStyle name="Percent 2 2 3 2 2 2" xfId="852" xr:uid="{00000000-0005-0000-0000-00002A130000}"/>
    <cellStyle name="Percent 2 2 3 2 3" xfId="733" xr:uid="{00000000-0005-0000-0000-00002B130000}"/>
    <cellStyle name="Percent 2 2 3 2 4" xfId="3756" xr:uid="{00000000-0005-0000-0000-00002C130000}"/>
    <cellStyle name="Percent 2 2 3 3" xfId="597" xr:uid="{00000000-0005-0000-0000-00002D130000}"/>
    <cellStyle name="Percent 2 2 3 3 2" xfId="851" xr:uid="{00000000-0005-0000-0000-00002E130000}"/>
    <cellStyle name="Percent 2 2 3 4" xfId="671" xr:uid="{00000000-0005-0000-0000-00002F130000}"/>
    <cellStyle name="Percent 2 2 3 5" xfId="3755" xr:uid="{00000000-0005-0000-0000-000030130000}"/>
    <cellStyle name="Percent 2 2 4" xfId="361" xr:uid="{00000000-0005-0000-0000-000031130000}"/>
    <cellStyle name="Percent 2 2 4 2" xfId="480" xr:uid="{00000000-0005-0000-0000-000032130000}"/>
    <cellStyle name="Percent 2 2 4 2 2" xfId="600" xr:uid="{00000000-0005-0000-0000-000033130000}"/>
    <cellStyle name="Percent 2 2 4 2 2 2" xfId="854" xr:uid="{00000000-0005-0000-0000-000034130000}"/>
    <cellStyle name="Percent 2 2 4 2 3" xfId="734" xr:uid="{00000000-0005-0000-0000-000035130000}"/>
    <cellStyle name="Percent 2 2 4 2 4" xfId="3758" xr:uid="{00000000-0005-0000-0000-000036130000}"/>
    <cellStyle name="Percent 2 2 4 3" xfId="599" xr:uid="{00000000-0005-0000-0000-000037130000}"/>
    <cellStyle name="Percent 2 2 4 3 2" xfId="853" xr:uid="{00000000-0005-0000-0000-000038130000}"/>
    <cellStyle name="Percent 2 2 4 4" xfId="672" xr:uid="{00000000-0005-0000-0000-000039130000}"/>
    <cellStyle name="Percent 2 2 4 5" xfId="3757" xr:uid="{00000000-0005-0000-0000-00003A130000}"/>
    <cellStyle name="Percent 2 2 5" xfId="475" xr:uid="{00000000-0005-0000-0000-00003B130000}"/>
    <cellStyle name="Percent 2 2 5 2" xfId="601" xr:uid="{00000000-0005-0000-0000-00003C130000}"/>
    <cellStyle name="Percent 2 2 5 2 2" xfId="855" xr:uid="{00000000-0005-0000-0000-00003D130000}"/>
    <cellStyle name="Percent 2 2 5 2 3" xfId="3759" xr:uid="{00000000-0005-0000-0000-00003E130000}"/>
    <cellStyle name="Percent 2 2 5 3" xfId="729" xr:uid="{00000000-0005-0000-0000-00003F130000}"/>
    <cellStyle name="Percent 2 2 5 3 2" xfId="3181" xr:uid="{00000000-0005-0000-0000-000040130000}"/>
    <cellStyle name="Percent 2 2 5 3 3" xfId="3182" xr:uid="{00000000-0005-0000-0000-000041130000}"/>
    <cellStyle name="Percent 2 2 6" xfId="590" xr:uid="{00000000-0005-0000-0000-000042130000}"/>
    <cellStyle name="Percent 2 2 6 2" xfId="844" xr:uid="{00000000-0005-0000-0000-000043130000}"/>
    <cellStyle name="Percent 2 2 6 3" xfId="3760" xr:uid="{00000000-0005-0000-0000-000044130000}"/>
    <cellStyle name="Percent 2 2 7" xfId="667" xr:uid="{00000000-0005-0000-0000-000045130000}"/>
    <cellStyle name="Percent 2 2 7 2" xfId="4561" xr:uid="{00000000-0005-0000-0000-000046130000}"/>
    <cellStyle name="Percent 2 2 7 3" xfId="5128" xr:uid="{00000000-0005-0000-0000-000047130000}"/>
    <cellStyle name="Percent 2 2 8" xfId="5517" xr:uid="{00000000-0005-0000-0000-000048130000}"/>
    <cellStyle name="Percent 2 2 9" xfId="5526" xr:uid="{00000000-0005-0000-0000-000049130000}"/>
    <cellStyle name="Percent 2 3" xfId="362" xr:uid="{00000000-0005-0000-0000-00004A130000}"/>
    <cellStyle name="Percent 2 3 2" xfId="481" xr:uid="{00000000-0005-0000-0000-00004B130000}"/>
    <cellStyle name="Percent 2 3 2 2" xfId="603" xr:uid="{00000000-0005-0000-0000-00004C130000}"/>
    <cellStyle name="Percent 2 3 2 2 2" xfId="857" xr:uid="{00000000-0005-0000-0000-00004D130000}"/>
    <cellStyle name="Percent 2 3 2 3" xfId="735" xr:uid="{00000000-0005-0000-0000-00004E130000}"/>
    <cellStyle name="Percent 2 3 2 4" xfId="4272" xr:uid="{00000000-0005-0000-0000-00004F130000}"/>
    <cellStyle name="Percent 2 3 3" xfId="602" xr:uid="{00000000-0005-0000-0000-000050130000}"/>
    <cellStyle name="Percent 2 3 3 2" xfId="856" xr:uid="{00000000-0005-0000-0000-000051130000}"/>
    <cellStyle name="Percent 2 3 4" xfId="673" xr:uid="{00000000-0005-0000-0000-000052130000}"/>
    <cellStyle name="Percent 2 3 5" xfId="3761" xr:uid="{00000000-0005-0000-0000-000053130000}"/>
    <cellStyle name="Percent 2 4" xfId="363" xr:uid="{00000000-0005-0000-0000-000054130000}"/>
    <cellStyle name="Percent 2 5" xfId="364" xr:uid="{00000000-0005-0000-0000-000055130000}"/>
    <cellStyle name="Percent 2 6" xfId="365" xr:uid="{00000000-0005-0000-0000-000056130000}"/>
    <cellStyle name="Percent 20" xfId="3183" xr:uid="{00000000-0005-0000-0000-000057130000}"/>
    <cellStyle name="Percent 20 2" xfId="3184" xr:uid="{00000000-0005-0000-0000-000058130000}"/>
    <cellStyle name="Percent 20 2 2" xfId="3185" xr:uid="{00000000-0005-0000-0000-000059130000}"/>
    <cellStyle name="Percent 20 2 2 2" xfId="3186" xr:uid="{00000000-0005-0000-0000-00005A130000}"/>
    <cellStyle name="Percent 20 2 2 2 2" xfId="5478" xr:uid="{00000000-0005-0000-0000-00005B130000}"/>
    <cellStyle name="Percent 20 2 2 3" xfId="5055" xr:uid="{00000000-0005-0000-0000-00005C130000}"/>
    <cellStyle name="Percent 20 2 3" xfId="3187" xr:uid="{00000000-0005-0000-0000-00005D130000}"/>
    <cellStyle name="Percent 20 2 4" xfId="3188" xr:uid="{00000000-0005-0000-0000-00005E130000}"/>
    <cellStyle name="Percent 20 2 4 2" xfId="5280" xr:uid="{00000000-0005-0000-0000-00005F130000}"/>
    <cellStyle name="Percent 20 2 5" xfId="4857" xr:uid="{00000000-0005-0000-0000-000060130000}"/>
    <cellStyle name="Percent 20 3" xfId="3189" xr:uid="{00000000-0005-0000-0000-000061130000}"/>
    <cellStyle name="Percent 20 3 2" xfId="3190" xr:uid="{00000000-0005-0000-0000-000062130000}"/>
    <cellStyle name="Percent 20 3 3" xfId="3191" xr:uid="{00000000-0005-0000-0000-000063130000}"/>
    <cellStyle name="Percent 20 3 3 2" xfId="3192" xr:uid="{00000000-0005-0000-0000-000064130000}"/>
    <cellStyle name="Percent 20 3 3 3" xfId="3193" xr:uid="{00000000-0005-0000-0000-000065130000}"/>
    <cellStyle name="Percent 20 3 4" xfId="3194" xr:uid="{00000000-0005-0000-0000-000066130000}"/>
    <cellStyle name="Percent 20 3 5" xfId="3195" xr:uid="{00000000-0005-0000-0000-000067130000}"/>
    <cellStyle name="Percent 20 3 5 2" xfId="5477" xr:uid="{00000000-0005-0000-0000-000068130000}"/>
    <cellStyle name="Percent 20 3 6" xfId="5054" xr:uid="{00000000-0005-0000-0000-000069130000}"/>
    <cellStyle name="Percent 20 4" xfId="3196" xr:uid="{00000000-0005-0000-0000-00006A130000}"/>
    <cellStyle name="Percent 20 5" xfId="3197" xr:uid="{00000000-0005-0000-0000-00006B130000}"/>
    <cellStyle name="Percent 20 5 2" xfId="5142" xr:uid="{00000000-0005-0000-0000-00006C130000}"/>
    <cellStyle name="Percent 20 6" xfId="3762" xr:uid="{00000000-0005-0000-0000-00006D130000}"/>
    <cellStyle name="Percent 20 7" xfId="4694" xr:uid="{00000000-0005-0000-0000-00006E130000}"/>
    <cellStyle name="Percent 200" xfId="3198" xr:uid="{00000000-0005-0000-0000-00006F130000}"/>
    <cellStyle name="Percent 200 2" xfId="4493" xr:uid="{00000000-0005-0000-0000-000070130000}"/>
    <cellStyle name="Percent 201" xfId="3199" xr:uid="{00000000-0005-0000-0000-000071130000}"/>
    <cellStyle name="Percent 201 2" xfId="4488" xr:uid="{00000000-0005-0000-0000-000072130000}"/>
    <cellStyle name="Percent 202" xfId="3200" xr:uid="{00000000-0005-0000-0000-000073130000}"/>
    <cellStyle name="Percent 202 2" xfId="4494" xr:uid="{00000000-0005-0000-0000-000074130000}"/>
    <cellStyle name="Percent 203" xfId="3201" xr:uid="{00000000-0005-0000-0000-000075130000}"/>
    <cellStyle name="Percent 203 2" xfId="4491" xr:uid="{00000000-0005-0000-0000-000076130000}"/>
    <cellStyle name="Percent 204" xfId="3202" xr:uid="{00000000-0005-0000-0000-000077130000}"/>
    <cellStyle name="Percent 204 2" xfId="4495" xr:uid="{00000000-0005-0000-0000-000078130000}"/>
    <cellStyle name="Percent 205" xfId="3203" xr:uid="{00000000-0005-0000-0000-000079130000}"/>
    <cellStyle name="Percent 205 2" xfId="4490" xr:uid="{00000000-0005-0000-0000-00007A130000}"/>
    <cellStyle name="Percent 206" xfId="3204" xr:uid="{00000000-0005-0000-0000-00007B130000}"/>
    <cellStyle name="Percent 207" xfId="3205" xr:uid="{00000000-0005-0000-0000-00007C130000}"/>
    <cellStyle name="Percent 208" xfId="3206" xr:uid="{00000000-0005-0000-0000-00007D130000}"/>
    <cellStyle name="Percent 208 2" xfId="4502" xr:uid="{00000000-0005-0000-0000-00007E130000}"/>
    <cellStyle name="Percent 209" xfId="3207" xr:uid="{00000000-0005-0000-0000-00007F130000}"/>
    <cellStyle name="Percent 209 2" xfId="4496" xr:uid="{00000000-0005-0000-0000-000080130000}"/>
    <cellStyle name="Percent 21" xfId="3208" xr:uid="{00000000-0005-0000-0000-000081130000}"/>
    <cellStyle name="Percent 21 2" xfId="3209" xr:uid="{00000000-0005-0000-0000-000082130000}"/>
    <cellStyle name="Percent 21 2 2" xfId="4273" xr:uid="{00000000-0005-0000-0000-000083130000}"/>
    <cellStyle name="Percent 21 3" xfId="3210" xr:uid="{00000000-0005-0000-0000-000084130000}"/>
    <cellStyle name="Percent 210" xfId="3211" xr:uid="{00000000-0005-0000-0000-000085130000}"/>
    <cellStyle name="Percent 210 2" xfId="4503" xr:uid="{00000000-0005-0000-0000-000086130000}"/>
    <cellStyle name="Percent 211" xfId="3212" xr:uid="{00000000-0005-0000-0000-000087130000}"/>
    <cellStyle name="Percent 211 2" xfId="4497" xr:uid="{00000000-0005-0000-0000-000088130000}"/>
    <cellStyle name="Percent 212" xfId="3213" xr:uid="{00000000-0005-0000-0000-000089130000}"/>
    <cellStyle name="Percent 212 2" xfId="4504" xr:uid="{00000000-0005-0000-0000-00008A130000}"/>
    <cellStyle name="Percent 213" xfId="3214" xr:uid="{00000000-0005-0000-0000-00008B130000}"/>
    <cellStyle name="Percent 213 2" xfId="4500" xr:uid="{00000000-0005-0000-0000-00008C130000}"/>
    <cellStyle name="Percent 214" xfId="3215" xr:uid="{00000000-0005-0000-0000-00008D130000}"/>
    <cellStyle name="Percent 214 2" xfId="4505" xr:uid="{00000000-0005-0000-0000-00008E130000}"/>
    <cellStyle name="Percent 215" xfId="3216" xr:uid="{00000000-0005-0000-0000-00008F130000}"/>
    <cellStyle name="Percent 215 2" xfId="4501" xr:uid="{00000000-0005-0000-0000-000090130000}"/>
    <cellStyle name="Percent 216" xfId="3217" xr:uid="{00000000-0005-0000-0000-000091130000}"/>
    <cellStyle name="Percent 216 2" xfId="4506" xr:uid="{00000000-0005-0000-0000-000092130000}"/>
    <cellStyle name="Percent 217" xfId="3218" xr:uid="{00000000-0005-0000-0000-000093130000}"/>
    <cellStyle name="Percent 217 2" xfId="4499" xr:uid="{00000000-0005-0000-0000-000094130000}"/>
    <cellStyle name="Percent 218" xfId="3219" xr:uid="{00000000-0005-0000-0000-000095130000}"/>
    <cellStyle name="Percent 218 2" xfId="4507" xr:uid="{00000000-0005-0000-0000-000096130000}"/>
    <cellStyle name="Percent 219" xfId="3220" xr:uid="{00000000-0005-0000-0000-000097130000}"/>
    <cellStyle name="Percent 219 2" xfId="4498" xr:uid="{00000000-0005-0000-0000-000098130000}"/>
    <cellStyle name="Percent 22" xfId="3221" xr:uid="{00000000-0005-0000-0000-000099130000}"/>
    <cellStyle name="Percent 22 2" xfId="3222" xr:uid="{00000000-0005-0000-0000-00009A130000}"/>
    <cellStyle name="Percent 22 2 2" xfId="4274" xr:uid="{00000000-0005-0000-0000-00009B130000}"/>
    <cellStyle name="Percent 220" xfId="3223" xr:uid="{00000000-0005-0000-0000-00009C130000}"/>
    <cellStyle name="Percent 220 2" xfId="4508" xr:uid="{00000000-0005-0000-0000-00009D130000}"/>
    <cellStyle name="Percent 221" xfId="3224" xr:uid="{00000000-0005-0000-0000-00009E130000}"/>
    <cellStyle name="Percent 221 2" xfId="4511" xr:uid="{00000000-0005-0000-0000-00009F130000}"/>
    <cellStyle name="Percent 222" xfId="3225" xr:uid="{00000000-0005-0000-0000-0000A0130000}"/>
    <cellStyle name="Percent 223" xfId="3226" xr:uid="{00000000-0005-0000-0000-0000A1130000}"/>
    <cellStyle name="Percent 224" xfId="3227" xr:uid="{00000000-0005-0000-0000-0000A2130000}"/>
    <cellStyle name="Percent 225" xfId="3228" xr:uid="{00000000-0005-0000-0000-0000A3130000}"/>
    <cellStyle name="Percent 226" xfId="3229" xr:uid="{00000000-0005-0000-0000-0000A4130000}"/>
    <cellStyle name="Percent 227" xfId="3230" xr:uid="{00000000-0005-0000-0000-0000A5130000}"/>
    <cellStyle name="Percent 228" xfId="3231" xr:uid="{00000000-0005-0000-0000-0000A6130000}"/>
    <cellStyle name="Percent 229" xfId="3232" xr:uid="{00000000-0005-0000-0000-0000A7130000}"/>
    <cellStyle name="Percent 23" xfId="3233" xr:uid="{00000000-0005-0000-0000-0000A8130000}"/>
    <cellStyle name="Percent 23 2" xfId="3234" xr:uid="{00000000-0005-0000-0000-0000A9130000}"/>
    <cellStyle name="Percent 23 2 2" xfId="4275" xr:uid="{00000000-0005-0000-0000-0000AA130000}"/>
    <cellStyle name="Percent 23 3" xfId="3235" xr:uid="{00000000-0005-0000-0000-0000AB130000}"/>
    <cellStyle name="Percent 230" xfId="3236" xr:uid="{00000000-0005-0000-0000-0000AC130000}"/>
    <cellStyle name="Percent 231" xfId="3237" xr:uid="{00000000-0005-0000-0000-0000AD130000}"/>
    <cellStyle name="Percent 232" xfId="3238" xr:uid="{00000000-0005-0000-0000-0000AE130000}"/>
    <cellStyle name="Percent 233" xfId="3239" xr:uid="{00000000-0005-0000-0000-0000AF130000}"/>
    <cellStyle name="Percent 234" xfId="3240" xr:uid="{00000000-0005-0000-0000-0000B0130000}"/>
    <cellStyle name="Percent 235" xfId="3241" xr:uid="{00000000-0005-0000-0000-0000B1130000}"/>
    <cellStyle name="Percent 236" xfId="3242" xr:uid="{00000000-0005-0000-0000-0000B2130000}"/>
    <cellStyle name="Percent 237" xfId="3243" xr:uid="{00000000-0005-0000-0000-0000B3130000}"/>
    <cellStyle name="Percent 238" xfId="3244" xr:uid="{00000000-0005-0000-0000-0000B4130000}"/>
    <cellStyle name="Percent 239" xfId="3245" xr:uid="{00000000-0005-0000-0000-0000B5130000}"/>
    <cellStyle name="Percent 24" xfId="3246" xr:uid="{00000000-0005-0000-0000-0000B6130000}"/>
    <cellStyle name="Percent 24 2" xfId="3247" xr:uid="{00000000-0005-0000-0000-0000B7130000}"/>
    <cellStyle name="Percent 24 2 2" xfId="4276" xr:uid="{00000000-0005-0000-0000-0000B8130000}"/>
    <cellStyle name="Percent 24 3" xfId="3248" xr:uid="{00000000-0005-0000-0000-0000B9130000}"/>
    <cellStyle name="Percent 240" xfId="3249" xr:uid="{00000000-0005-0000-0000-0000BA130000}"/>
    <cellStyle name="Percent 241" xfId="3250" xr:uid="{00000000-0005-0000-0000-0000BB130000}"/>
    <cellStyle name="Percent 242" xfId="3251" xr:uid="{00000000-0005-0000-0000-0000BC130000}"/>
    <cellStyle name="Percent 243" xfId="3252" xr:uid="{00000000-0005-0000-0000-0000BD130000}"/>
    <cellStyle name="Percent 244" xfId="3253" xr:uid="{00000000-0005-0000-0000-0000BE130000}"/>
    <cellStyle name="Percent 245" xfId="3254" xr:uid="{00000000-0005-0000-0000-0000BF130000}"/>
    <cellStyle name="Percent 246" xfId="3255" xr:uid="{00000000-0005-0000-0000-0000C0130000}"/>
    <cellStyle name="Percent 247" xfId="3256" xr:uid="{00000000-0005-0000-0000-0000C1130000}"/>
    <cellStyle name="Percent 248" xfId="3885" xr:uid="{00000000-0005-0000-0000-0000C2130000}"/>
    <cellStyle name="Percent 249" xfId="4586" xr:uid="{00000000-0005-0000-0000-0000C3130000}"/>
    <cellStyle name="Percent 25" xfId="3257" xr:uid="{00000000-0005-0000-0000-0000C4130000}"/>
    <cellStyle name="Percent 25 2" xfId="3258" xr:uid="{00000000-0005-0000-0000-0000C5130000}"/>
    <cellStyle name="Percent 25 3" xfId="3259" xr:uid="{00000000-0005-0000-0000-0000C6130000}"/>
    <cellStyle name="Percent 25 3 2" xfId="5482" xr:uid="{00000000-0005-0000-0000-0000C7130000}"/>
    <cellStyle name="Percent 25 4" xfId="5060" xr:uid="{00000000-0005-0000-0000-0000C8130000}"/>
    <cellStyle name="Percent 250" xfId="4587" xr:uid="{00000000-0005-0000-0000-0000C9130000}"/>
    <cellStyle name="Percent 251" xfId="4113" xr:uid="{00000000-0005-0000-0000-0000CA130000}"/>
    <cellStyle name="Percent 252" xfId="3797" xr:uid="{00000000-0005-0000-0000-0000CB130000}"/>
    <cellStyle name="Percent 253" xfId="4591" xr:uid="{00000000-0005-0000-0000-0000CC130000}"/>
    <cellStyle name="Percent 253 2" xfId="4593" xr:uid="{00000000-0005-0000-0000-0000CD130000}"/>
    <cellStyle name="Percent 253 3" xfId="4599" xr:uid="{00000000-0005-0000-0000-0000CE130000}"/>
    <cellStyle name="Percent 254" xfId="5508" xr:uid="{00000000-0005-0000-0000-0000CF130000}"/>
    <cellStyle name="Percent 255" xfId="5520" xr:uid="{00000000-0005-0000-0000-0000D0130000}"/>
    <cellStyle name="Percent 256" xfId="5527" xr:uid="{00000000-0005-0000-0000-0000D1130000}"/>
    <cellStyle name="Percent 257" xfId="5552" xr:uid="{00000000-0005-0000-0000-0000D2130000}"/>
    <cellStyle name="Percent 258" xfId="5555" xr:uid="{00000000-0005-0000-0000-0000D3130000}"/>
    <cellStyle name="Percent 259" xfId="5560" xr:uid="{00000000-0005-0000-0000-0000D4130000}"/>
    <cellStyle name="Percent 26" xfId="3260" xr:uid="{00000000-0005-0000-0000-0000D5130000}"/>
    <cellStyle name="Percent 26 2" xfId="3261" xr:uid="{00000000-0005-0000-0000-0000D6130000}"/>
    <cellStyle name="Percent 260" xfId="5563" xr:uid="{00000000-0005-0000-0000-0000D7130000}"/>
    <cellStyle name="Percent 261" xfId="5569" xr:uid="{00000000-0005-0000-0000-0000D8130000}"/>
    <cellStyle name="Percent 262" xfId="5572" xr:uid="{00000000-0005-0000-0000-0000D9130000}"/>
    <cellStyle name="Percent 263" xfId="5575" xr:uid="{00000000-0005-0000-0000-0000DA130000}"/>
    <cellStyle name="Percent 264" xfId="5579" xr:uid="{00000000-0005-0000-0000-0000DB130000}"/>
    <cellStyle name="Percent 265" xfId="5581" xr:uid="{00000000-0005-0000-0000-0000DC130000}"/>
    <cellStyle name="Percent 266" xfId="5584" xr:uid="{00000000-0005-0000-0000-0000DD130000}"/>
    <cellStyle name="Percent 267" xfId="5586" xr:uid="{00000000-0005-0000-0000-0000DE130000}"/>
    <cellStyle name="Percent 268" xfId="5589" xr:uid="{00000000-0005-0000-0000-0000DF130000}"/>
    <cellStyle name="Percent 269" xfId="5595" xr:uid="{00000000-0005-0000-0000-0000E0130000}"/>
    <cellStyle name="Percent 27" xfId="3262" xr:uid="{00000000-0005-0000-0000-0000E1130000}"/>
    <cellStyle name="Percent 27 2" xfId="3263" xr:uid="{00000000-0005-0000-0000-0000E2130000}"/>
    <cellStyle name="Percent 270" xfId="5601" xr:uid="{00000000-0005-0000-0000-0000E3130000}"/>
    <cellStyle name="Percent 271" xfId="5603" xr:uid="{00000000-0005-0000-0000-0000E4130000}"/>
    <cellStyle name="Percent 272" xfId="5608" xr:uid="{00000000-0005-0000-0000-0000E5130000}"/>
    <cellStyle name="Percent 273" xfId="5612" xr:uid="{00000000-0005-0000-0000-0000E6130000}"/>
    <cellStyle name="Percent 274" xfId="5615" xr:uid="{00000000-0005-0000-0000-0000E7130000}"/>
    <cellStyle name="Percent 275" xfId="5617" xr:uid="{39AD27CA-BF37-43E1-AF9B-BD0140DDC45B}"/>
    <cellStyle name="Percent 276" xfId="5620" xr:uid="{BD561440-9C27-405D-9A78-DD80D0CAFFF2}"/>
    <cellStyle name="Percent 277" xfId="5623" xr:uid="{18F028AB-226D-4B2D-BB3E-D85EF968BD21}"/>
    <cellStyle name="Percent 278" xfId="5626" xr:uid="{007FDD87-A6D6-4243-873C-B360B09367F7}"/>
    <cellStyle name="Percent 279" xfId="5630" xr:uid="{4DA41C0C-7A20-4EE8-854F-E1377A6C4E2A}"/>
    <cellStyle name="Percent 28" xfId="3264" xr:uid="{00000000-0005-0000-0000-0000E8130000}"/>
    <cellStyle name="Percent 28 2" xfId="3265" xr:uid="{00000000-0005-0000-0000-0000E9130000}"/>
    <cellStyle name="Percent 28 3" xfId="3266" xr:uid="{00000000-0005-0000-0000-0000EA130000}"/>
    <cellStyle name="Percent 28 3 2" xfId="5488" xr:uid="{00000000-0005-0000-0000-0000EB130000}"/>
    <cellStyle name="Percent 280" xfId="5632" xr:uid="{BAEFE033-31A3-4D42-AE8E-4E8E6BD706DA}"/>
    <cellStyle name="Percent 281" xfId="5635" xr:uid="{5D98EAC8-E591-4C30-94FF-B9AF96E5E89B}"/>
    <cellStyle name="Percent 29" xfId="3267" xr:uid="{00000000-0005-0000-0000-0000EC130000}"/>
    <cellStyle name="Percent 29 2" xfId="3268" xr:uid="{00000000-0005-0000-0000-0000ED130000}"/>
    <cellStyle name="Percent 29 3" xfId="3269" xr:uid="{00000000-0005-0000-0000-0000EE130000}"/>
    <cellStyle name="Percent 29 3 2" xfId="5487" xr:uid="{00000000-0005-0000-0000-0000EF130000}"/>
    <cellStyle name="Percent 3" xfId="366" xr:uid="{00000000-0005-0000-0000-0000F0130000}"/>
    <cellStyle name="Percent 3 2" xfId="3270" xr:uid="{00000000-0005-0000-0000-0000F1130000}"/>
    <cellStyle name="Percent 3 2 2" xfId="3271" xr:uid="{00000000-0005-0000-0000-0000F2130000}"/>
    <cellStyle name="Percent 3 2 2 2" xfId="4279" xr:uid="{00000000-0005-0000-0000-0000F3130000}"/>
    <cellStyle name="Percent 3 2 3" xfId="3272" xr:uid="{00000000-0005-0000-0000-0000F4130000}"/>
    <cellStyle name="Percent 3 2 3 2" xfId="4280" xr:uid="{00000000-0005-0000-0000-0000F5130000}"/>
    <cellStyle name="Percent 3 2 4" xfId="3273" xr:uid="{00000000-0005-0000-0000-0000F6130000}"/>
    <cellStyle name="Percent 3 2 4 2" xfId="3274" xr:uid="{00000000-0005-0000-0000-0000F7130000}"/>
    <cellStyle name="Percent 3 2 4 3" xfId="3275" xr:uid="{00000000-0005-0000-0000-0000F8130000}"/>
    <cellStyle name="Percent 3 2 5" xfId="3276" xr:uid="{00000000-0005-0000-0000-0000F9130000}"/>
    <cellStyle name="Percent 3 2 6" xfId="4278" xr:uid="{00000000-0005-0000-0000-0000FA130000}"/>
    <cellStyle name="Percent 3 3" xfId="3277" xr:uid="{00000000-0005-0000-0000-0000FB130000}"/>
    <cellStyle name="Percent 3 4" xfId="4277" xr:uid="{00000000-0005-0000-0000-0000FC130000}"/>
    <cellStyle name="Percent 30" xfId="3278" xr:uid="{00000000-0005-0000-0000-0000FD130000}"/>
    <cellStyle name="Percent 30 2" xfId="3279" xr:uid="{00000000-0005-0000-0000-0000FE130000}"/>
    <cellStyle name="Percent 30 2 2" xfId="4282" xr:uid="{00000000-0005-0000-0000-0000FF130000}"/>
    <cellStyle name="Percent 30 3" xfId="3280" xr:uid="{00000000-0005-0000-0000-000000140000}"/>
    <cellStyle name="Percent 30 3 2" xfId="4281" xr:uid="{00000000-0005-0000-0000-000001140000}"/>
    <cellStyle name="Percent 30 3 3" xfId="5505" xr:uid="{00000000-0005-0000-0000-000002140000}"/>
    <cellStyle name="Percent 31" xfId="3281" xr:uid="{00000000-0005-0000-0000-000003140000}"/>
    <cellStyle name="Percent 31 2" xfId="3282" xr:uid="{00000000-0005-0000-0000-000004140000}"/>
    <cellStyle name="Percent 31 2 2" xfId="4284" xr:uid="{00000000-0005-0000-0000-000005140000}"/>
    <cellStyle name="Percent 31 3" xfId="4283" xr:uid="{00000000-0005-0000-0000-000006140000}"/>
    <cellStyle name="Percent 32" xfId="3283" xr:uid="{00000000-0005-0000-0000-000007140000}"/>
    <cellStyle name="Percent 32 2" xfId="3284" xr:uid="{00000000-0005-0000-0000-000008140000}"/>
    <cellStyle name="Percent 32 2 2" xfId="4286" xr:uid="{00000000-0005-0000-0000-000009140000}"/>
    <cellStyle name="Percent 32 3" xfId="4285" xr:uid="{00000000-0005-0000-0000-00000A140000}"/>
    <cellStyle name="Percent 33" xfId="3285" xr:uid="{00000000-0005-0000-0000-00000B140000}"/>
    <cellStyle name="Percent 33 2" xfId="3763" xr:uid="{00000000-0005-0000-0000-00000C140000}"/>
    <cellStyle name="Percent 33 2 2" xfId="4288" xr:uid="{00000000-0005-0000-0000-00000D140000}"/>
    <cellStyle name="Percent 33 3" xfId="4287" xr:uid="{00000000-0005-0000-0000-00000E140000}"/>
    <cellStyle name="Percent 34" xfId="3286" xr:uid="{00000000-0005-0000-0000-00000F140000}"/>
    <cellStyle name="Percent 34 2" xfId="4289" xr:uid="{00000000-0005-0000-0000-000010140000}"/>
    <cellStyle name="Percent 35" xfId="3287" xr:uid="{00000000-0005-0000-0000-000011140000}"/>
    <cellStyle name="Percent 35 2" xfId="3288" xr:uid="{00000000-0005-0000-0000-000012140000}"/>
    <cellStyle name="Percent 35 2 2" xfId="4291" xr:uid="{00000000-0005-0000-0000-000013140000}"/>
    <cellStyle name="Percent 35 3" xfId="3289" xr:uid="{00000000-0005-0000-0000-000014140000}"/>
    <cellStyle name="Percent 35 3 2" xfId="4292" xr:uid="{00000000-0005-0000-0000-000015140000}"/>
    <cellStyle name="Percent 35 4" xfId="4290" xr:uid="{00000000-0005-0000-0000-000016140000}"/>
    <cellStyle name="Percent 36" xfId="3290" xr:uid="{00000000-0005-0000-0000-000017140000}"/>
    <cellStyle name="Percent 36 2" xfId="3291" xr:uid="{00000000-0005-0000-0000-000018140000}"/>
    <cellStyle name="Percent 36 2 2" xfId="4294" xr:uid="{00000000-0005-0000-0000-000019140000}"/>
    <cellStyle name="Percent 36 3" xfId="3292" xr:uid="{00000000-0005-0000-0000-00001A140000}"/>
    <cellStyle name="Percent 36 3 2" xfId="4295" xr:uid="{00000000-0005-0000-0000-00001B140000}"/>
    <cellStyle name="Percent 36 4" xfId="4293" xr:uid="{00000000-0005-0000-0000-00001C140000}"/>
    <cellStyle name="Percent 37" xfId="3293" xr:uid="{00000000-0005-0000-0000-00001D140000}"/>
    <cellStyle name="Percent 37 2" xfId="3294" xr:uid="{00000000-0005-0000-0000-00001E140000}"/>
    <cellStyle name="Percent 37 2 2" xfId="4297" xr:uid="{00000000-0005-0000-0000-00001F140000}"/>
    <cellStyle name="Percent 37 3" xfId="4296" xr:uid="{00000000-0005-0000-0000-000020140000}"/>
    <cellStyle name="Percent 38" xfId="3295" xr:uid="{00000000-0005-0000-0000-000021140000}"/>
    <cellStyle name="Percent 38 2" xfId="4298" xr:uid="{00000000-0005-0000-0000-000022140000}"/>
    <cellStyle name="Percent 39" xfId="3296" xr:uid="{00000000-0005-0000-0000-000023140000}"/>
    <cellStyle name="Percent 39 2" xfId="4299" xr:uid="{00000000-0005-0000-0000-000024140000}"/>
    <cellStyle name="Percent 4" xfId="367" xr:uid="{00000000-0005-0000-0000-000025140000}"/>
    <cellStyle name="Percent 4 2" xfId="3297" xr:uid="{00000000-0005-0000-0000-000026140000}"/>
    <cellStyle name="Percent 4 2 2" xfId="3298" xr:uid="{00000000-0005-0000-0000-000027140000}"/>
    <cellStyle name="Percent 4 2 3" xfId="3299" xr:uid="{00000000-0005-0000-0000-000028140000}"/>
    <cellStyle name="Percent 4 3" xfId="3300" xr:uid="{00000000-0005-0000-0000-000029140000}"/>
    <cellStyle name="Percent 4 3 2" xfId="4300" xr:uid="{00000000-0005-0000-0000-00002A140000}"/>
    <cellStyle name="Percent 4 4" xfId="4520" xr:uid="{00000000-0005-0000-0000-00002B140000}"/>
    <cellStyle name="Percent 4 5" xfId="4513" xr:uid="{00000000-0005-0000-0000-00002C140000}"/>
    <cellStyle name="Percent 40" xfId="3301" xr:uid="{00000000-0005-0000-0000-00002D140000}"/>
    <cellStyle name="Percent 40 2" xfId="3302" xr:uid="{00000000-0005-0000-0000-00002E140000}"/>
    <cellStyle name="Percent 40 2 2" xfId="4302" xr:uid="{00000000-0005-0000-0000-00002F140000}"/>
    <cellStyle name="Percent 40 3" xfId="4301" xr:uid="{00000000-0005-0000-0000-000030140000}"/>
    <cellStyle name="Percent 41" xfId="3303" xr:uid="{00000000-0005-0000-0000-000031140000}"/>
    <cellStyle name="Percent 41 2" xfId="4303" xr:uid="{00000000-0005-0000-0000-000032140000}"/>
    <cellStyle name="Percent 42" xfId="3304" xr:uid="{00000000-0005-0000-0000-000033140000}"/>
    <cellStyle name="Percent 42 2" xfId="4304" xr:uid="{00000000-0005-0000-0000-000034140000}"/>
    <cellStyle name="Percent 43" xfId="3305" xr:uid="{00000000-0005-0000-0000-000035140000}"/>
    <cellStyle name="Percent 43 2" xfId="4305" xr:uid="{00000000-0005-0000-0000-000036140000}"/>
    <cellStyle name="Percent 44" xfId="3306" xr:uid="{00000000-0005-0000-0000-000037140000}"/>
    <cellStyle name="Percent 44 2" xfId="4306" xr:uid="{00000000-0005-0000-0000-000038140000}"/>
    <cellStyle name="Percent 45" xfId="3307" xr:uid="{00000000-0005-0000-0000-000039140000}"/>
    <cellStyle name="Percent 45 2" xfId="3308" xr:uid="{00000000-0005-0000-0000-00003A140000}"/>
    <cellStyle name="Percent 45 2 2" xfId="4308" xr:uid="{00000000-0005-0000-0000-00003B140000}"/>
    <cellStyle name="Percent 45 3" xfId="4307" xr:uid="{00000000-0005-0000-0000-00003C140000}"/>
    <cellStyle name="Percent 46" xfId="3309" xr:uid="{00000000-0005-0000-0000-00003D140000}"/>
    <cellStyle name="Percent 46 2" xfId="4309" xr:uid="{00000000-0005-0000-0000-00003E140000}"/>
    <cellStyle name="Percent 47" xfId="3310" xr:uid="{00000000-0005-0000-0000-00003F140000}"/>
    <cellStyle name="Percent 47 2" xfId="4310" xr:uid="{00000000-0005-0000-0000-000040140000}"/>
    <cellStyle name="Percent 48" xfId="3311" xr:uid="{00000000-0005-0000-0000-000041140000}"/>
    <cellStyle name="Percent 48 2" xfId="4311" xr:uid="{00000000-0005-0000-0000-000042140000}"/>
    <cellStyle name="Percent 49" xfId="3312" xr:uid="{00000000-0005-0000-0000-000043140000}"/>
    <cellStyle name="Percent 49 2" xfId="4312" xr:uid="{00000000-0005-0000-0000-000044140000}"/>
    <cellStyle name="Percent 5" xfId="368" xr:uid="{00000000-0005-0000-0000-000045140000}"/>
    <cellStyle name="Percent 5 2" xfId="3313" xr:uid="{00000000-0005-0000-0000-000046140000}"/>
    <cellStyle name="Percent 5 2 2" xfId="3314" xr:uid="{00000000-0005-0000-0000-000047140000}"/>
    <cellStyle name="Percent 5 3" xfId="3315" xr:uid="{00000000-0005-0000-0000-000048140000}"/>
    <cellStyle name="Percent 50" xfId="3316" xr:uid="{00000000-0005-0000-0000-000049140000}"/>
    <cellStyle name="Percent 50 2" xfId="4313" xr:uid="{00000000-0005-0000-0000-00004A140000}"/>
    <cellStyle name="Percent 51" xfId="3317" xr:uid="{00000000-0005-0000-0000-00004B140000}"/>
    <cellStyle name="Percent 51 2" xfId="4314" xr:uid="{00000000-0005-0000-0000-00004C140000}"/>
    <cellStyle name="Percent 52" xfId="3318" xr:uid="{00000000-0005-0000-0000-00004D140000}"/>
    <cellStyle name="Percent 52 2" xfId="3319" xr:uid="{00000000-0005-0000-0000-00004E140000}"/>
    <cellStyle name="Percent 52 2 2" xfId="4316" xr:uid="{00000000-0005-0000-0000-00004F140000}"/>
    <cellStyle name="Percent 52 3" xfId="4315" xr:uid="{00000000-0005-0000-0000-000050140000}"/>
    <cellStyle name="Percent 53" xfId="3320" xr:uid="{00000000-0005-0000-0000-000051140000}"/>
    <cellStyle name="Percent 53 2" xfId="3321" xr:uid="{00000000-0005-0000-0000-000052140000}"/>
    <cellStyle name="Percent 53 2 2" xfId="4318" xr:uid="{00000000-0005-0000-0000-000053140000}"/>
    <cellStyle name="Percent 53 3" xfId="4317" xr:uid="{00000000-0005-0000-0000-000054140000}"/>
    <cellStyle name="Percent 54" xfId="3322" xr:uid="{00000000-0005-0000-0000-000055140000}"/>
    <cellStyle name="Percent 54 2" xfId="3323" xr:uid="{00000000-0005-0000-0000-000056140000}"/>
    <cellStyle name="Percent 54 2 2" xfId="4320" xr:uid="{00000000-0005-0000-0000-000057140000}"/>
    <cellStyle name="Percent 54 3" xfId="4319" xr:uid="{00000000-0005-0000-0000-000058140000}"/>
    <cellStyle name="Percent 55" xfId="3324" xr:uid="{00000000-0005-0000-0000-000059140000}"/>
    <cellStyle name="Percent 55 2" xfId="3325" xr:uid="{00000000-0005-0000-0000-00005A140000}"/>
    <cellStyle name="Percent 55 2 2" xfId="4322" xr:uid="{00000000-0005-0000-0000-00005B140000}"/>
    <cellStyle name="Percent 55 3" xfId="4321" xr:uid="{00000000-0005-0000-0000-00005C140000}"/>
    <cellStyle name="Percent 56" xfId="3326" xr:uid="{00000000-0005-0000-0000-00005D140000}"/>
    <cellStyle name="Percent 56 2" xfId="4323" xr:uid="{00000000-0005-0000-0000-00005E140000}"/>
    <cellStyle name="Percent 57" xfId="3327" xr:uid="{00000000-0005-0000-0000-00005F140000}"/>
    <cellStyle name="Percent 57 2" xfId="4324" xr:uid="{00000000-0005-0000-0000-000060140000}"/>
    <cellStyle name="Percent 58" xfId="3328" xr:uid="{00000000-0005-0000-0000-000061140000}"/>
    <cellStyle name="Percent 58 2" xfId="4325" xr:uid="{00000000-0005-0000-0000-000062140000}"/>
    <cellStyle name="Percent 59" xfId="3329" xr:uid="{00000000-0005-0000-0000-000063140000}"/>
    <cellStyle name="Percent 59 2" xfId="4326" xr:uid="{00000000-0005-0000-0000-000064140000}"/>
    <cellStyle name="Percent 6" xfId="369" xr:uid="{00000000-0005-0000-0000-000065140000}"/>
    <cellStyle name="Percent 6 2" xfId="482" xr:uid="{00000000-0005-0000-0000-000066140000}"/>
    <cellStyle name="Percent 6 2 2" xfId="605" xr:uid="{00000000-0005-0000-0000-000067140000}"/>
    <cellStyle name="Percent 6 2 2 2" xfId="859" xr:uid="{00000000-0005-0000-0000-000068140000}"/>
    <cellStyle name="Percent 6 2 2 3" xfId="4728" xr:uid="{00000000-0005-0000-0000-000069140000}"/>
    <cellStyle name="Percent 6 2 3" xfId="736" xr:uid="{00000000-0005-0000-0000-00006A140000}"/>
    <cellStyle name="Percent 6 2 4" xfId="4327" xr:uid="{00000000-0005-0000-0000-00006B140000}"/>
    <cellStyle name="Percent 6 3" xfId="604" xr:uid="{00000000-0005-0000-0000-00006C140000}"/>
    <cellStyle name="Percent 6 3 2" xfId="858" xr:uid="{00000000-0005-0000-0000-00006D140000}"/>
    <cellStyle name="Percent 6 3 3" xfId="4729" xr:uid="{00000000-0005-0000-0000-00006E140000}"/>
    <cellStyle name="Percent 6 4" xfId="674" xr:uid="{00000000-0005-0000-0000-00006F140000}"/>
    <cellStyle name="Percent 6 5" xfId="3764" xr:uid="{00000000-0005-0000-0000-000070140000}"/>
    <cellStyle name="Percent 60" xfId="3330" xr:uid="{00000000-0005-0000-0000-000071140000}"/>
    <cellStyle name="Percent 60 2" xfId="4328" xr:uid="{00000000-0005-0000-0000-000072140000}"/>
    <cellStyle name="Percent 61" xfId="3331" xr:uid="{00000000-0005-0000-0000-000073140000}"/>
    <cellStyle name="Percent 61 2" xfId="4329" xr:uid="{00000000-0005-0000-0000-000074140000}"/>
    <cellStyle name="Percent 62" xfId="3332" xr:uid="{00000000-0005-0000-0000-000075140000}"/>
    <cellStyle name="Percent 62 2" xfId="4330" xr:uid="{00000000-0005-0000-0000-000076140000}"/>
    <cellStyle name="Percent 63" xfId="3333" xr:uid="{00000000-0005-0000-0000-000077140000}"/>
    <cellStyle name="Percent 63 2" xfId="4331" xr:uid="{00000000-0005-0000-0000-000078140000}"/>
    <cellStyle name="Percent 64" xfId="3334" xr:uid="{00000000-0005-0000-0000-000079140000}"/>
    <cellStyle name="Percent 64 2" xfId="4332" xr:uid="{00000000-0005-0000-0000-00007A140000}"/>
    <cellStyle name="Percent 65" xfId="3335" xr:uid="{00000000-0005-0000-0000-00007B140000}"/>
    <cellStyle name="Percent 65 2" xfId="4333" xr:uid="{00000000-0005-0000-0000-00007C140000}"/>
    <cellStyle name="Percent 66" xfId="3336" xr:uid="{00000000-0005-0000-0000-00007D140000}"/>
    <cellStyle name="Percent 66 2" xfId="4334" xr:uid="{00000000-0005-0000-0000-00007E140000}"/>
    <cellStyle name="Percent 67" xfId="3337" xr:uid="{00000000-0005-0000-0000-00007F140000}"/>
    <cellStyle name="Percent 67 2" xfId="4335" xr:uid="{00000000-0005-0000-0000-000080140000}"/>
    <cellStyle name="Percent 68" xfId="3338" xr:uid="{00000000-0005-0000-0000-000081140000}"/>
    <cellStyle name="Percent 68 2" xfId="4336" xr:uid="{00000000-0005-0000-0000-000082140000}"/>
    <cellStyle name="Percent 69" xfId="3339" xr:uid="{00000000-0005-0000-0000-000083140000}"/>
    <cellStyle name="Percent 69 2" xfId="4337" xr:uid="{00000000-0005-0000-0000-000084140000}"/>
    <cellStyle name="Percent 7" xfId="370" xr:uid="{00000000-0005-0000-0000-000085140000}"/>
    <cellStyle name="Percent 7 2" xfId="483" xr:uid="{00000000-0005-0000-0000-000086140000}"/>
    <cellStyle name="Percent 7 2 2" xfId="607" xr:uid="{00000000-0005-0000-0000-000087140000}"/>
    <cellStyle name="Percent 7 2 2 2" xfId="861" xr:uid="{00000000-0005-0000-0000-000088140000}"/>
    <cellStyle name="Percent 7 2 3" xfId="737" xr:uid="{00000000-0005-0000-0000-000089140000}"/>
    <cellStyle name="Percent 7 2 4" xfId="4338" xr:uid="{00000000-0005-0000-0000-00008A140000}"/>
    <cellStyle name="Percent 7 2 5" xfId="4675" xr:uid="{00000000-0005-0000-0000-00008B140000}"/>
    <cellStyle name="Percent 7 3" xfId="606" xr:uid="{00000000-0005-0000-0000-00008C140000}"/>
    <cellStyle name="Percent 7 3 2" xfId="860" xr:uid="{00000000-0005-0000-0000-00008D140000}"/>
    <cellStyle name="Percent 7 3 3" xfId="5130" xr:uid="{00000000-0005-0000-0000-00008E140000}"/>
    <cellStyle name="Percent 7 4" xfId="675" xr:uid="{00000000-0005-0000-0000-00008F140000}"/>
    <cellStyle name="Percent 7 5" xfId="3765" xr:uid="{00000000-0005-0000-0000-000090140000}"/>
    <cellStyle name="Percent 7 6" xfId="4674" xr:uid="{00000000-0005-0000-0000-000091140000}"/>
    <cellStyle name="Percent 70" xfId="3340" xr:uid="{00000000-0005-0000-0000-000092140000}"/>
    <cellStyle name="Percent 70 2" xfId="4339" xr:uid="{00000000-0005-0000-0000-000093140000}"/>
    <cellStyle name="Percent 71" xfId="3341" xr:uid="{00000000-0005-0000-0000-000094140000}"/>
    <cellStyle name="Percent 71 2" xfId="4340" xr:uid="{00000000-0005-0000-0000-000095140000}"/>
    <cellStyle name="Percent 72" xfId="3342" xr:uid="{00000000-0005-0000-0000-000096140000}"/>
    <cellStyle name="Percent 72 2" xfId="3343" xr:uid="{00000000-0005-0000-0000-000097140000}"/>
    <cellStyle name="Percent 72 2 2" xfId="4342" xr:uid="{00000000-0005-0000-0000-000098140000}"/>
    <cellStyle name="Percent 72 3" xfId="4341" xr:uid="{00000000-0005-0000-0000-000099140000}"/>
    <cellStyle name="Percent 73" xfId="3344" xr:uid="{00000000-0005-0000-0000-00009A140000}"/>
    <cellStyle name="Percent 73 2" xfId="3345" xr:uid="{00000000-0005-0000-0000-00009B140000}"/>
    <cellStyle name="Percent 73 2 2" xfId="4344" xr:uid="{00000000-0005-0000-0000-00009C140000}"/>
    <cellStyle name="Percent 73 3" xfId="4343" xr:uid="{00000000-0005-0000-0000-00009D140000}"/>
    <cellStyle name="Percent 74" xfId="3346" xr:uid="{00000000-0005-0000-0000-00009E140000}"/>
    <cellStyle name="Percent 74 2" xfId="3347" xr:uid="{00000000-0005-0000-0000-00009F140000}"/>
    <cellStyle name="Percent 74 2 2" xfId="4346" xr:uid="{00000000-0005-0000-0000-0000A0140000}"/>
    <cellStyle name="Percent 74 3" xfId="4345" xr:uid="{00000000-0005-0000-0000-0000A1140000}"/>
    <cellStyle name="Percent 75" xfId="3348" xr:uid="{00000000-0005-0000-0000-0000A2140000}"/>
    <cellStyle name="Percent 75 2" xfId="3349" xr:uid="{00000000-0005-0000-0000-0000A3140000}"/>
    <cellStyle name="Percent 75 2 2" xfId="4348" xr:uid="{00000000-0005-0000-0000-0000A4140000}"/>
    <cellStyle name="Percent 75 3" xfId="4347" xr:uid="{00000000-0005-0000-0000-0000A5140000}"/>
    <cellStyle name="Percent 76" xfId="3350" xr:uid="{00000000-0005-0000-0000-0000A6140000}"/>
    <cellStyle name="Percent 76 2" xfId="3351" xr:uid="{00000000-0005-0000-0000-0000A7140000}"/>
    <cellStyle name="Percent 76 2 2" xfId="4350" xr:uid="{00000000-0005-0000-0000-0000A8140000}"/>
    <cellStyle name="Percent 76 3" xfId="4349" xr:uid="{00000000-0005-0000-0000-0000A9140000}"/>
    <cellStyle name="Percent 77" xfId="3352" xr:uid="{00000000-0005-0000-0000-0000AA140000}"/>
    <cellStyle name="Percent 77 2" xfId="3353" xr:uid="{00000000-0005-0000-0000-0000AB140000}"/>
    <cellStyle name="Percent 77 2 2" xfId="4352" xr:uid="{00000000-0005-0000-0000-0000AC140000}"/>
    <cellStyle name="Percent 77 3" xfId="4351" xr:uid="{00000000-0005-0000-0000-0000AD140000}"/>
    <cellStyle name="Percent 78" xfId="3354" xr:uid="{00000000-0005-0000-0000-0000AE140000}"/>
    <cellStyle name="Percent 78 2" xfId="3355" xr:uid="{00000000-0005-0000-0000-0000AF140000}"/>
    <cellStyle name="Percent 78 2 2" xfId="4354" xr:uid="{00000000-0005-0000-0000-0000B0140000}"/>
    <cellStyle name="Percent 78 3" xfId="4353" xr:uid="{00000000-0005-0000-0000-0000B1140000}"/>
    <cellStyle name="Percent 79" xfId="3356" xr:uid="{00000000-0005-0000-0000-0000B2140000}"/>
    <cellStyle name="Percent 79 2" xfId="4355" xr:uid="{00000000-0005-0000-0000-0000B3140000}"/>
    <cellStyle name="Percent 8" xfId="489" xr:uid="{00000000-0005-0000-0000-0000B4140000}"/>
    <cellStyle name="Percent 8 2" xfId="743" xr:uid="{00000000-0005-0000-0000-0000B5140000}"/>
    <cellStyle name="Percent 8 2 2" xfId="4356" xr:uid="{00000000-0005-0000-0000-0000B6140000}"/>
    <cellStyle name="Percent 8 3" xfId="3766" xr:uid="{00000000-0005-0000-0000-0000B7140000}"/>
    <cellStyle name="Percent 80" xfId="3357" xr:uid="{00000000-0005-0000-0000-0000B8140000}"/>
    <cellStyle name="Percent 80 2" xfId="4357" xr:uid="{00000000-0005-0000-0000-0000B9140000}"/>
    <cellStyle name="Percent 81" xfId="3358" xr:uid="{00000000-0005-0000-0000-0000BA140000}"/>
    <cellStyle name="Percent 81 2" xfId="4358" xr:uid="{00000000-0005-0000-0000-0000BB140000}"/>
    <cellStyle name="Percent 82" xfId="3359" xr:uid="{00000000-0005-0000-0000-0000BC140000}"/>
    <cellStyle name="Percent 82 2" xfId="4359" xr:uid="{00000000-0005-0000-0000-0000BD140000}"/>
    <cellStyle name="Percent 83" xfId="3360" xr:uid="{00000000-0005-0000-0000-0000BE140000}"/>
    <cellStyle name="Percent 83 2" xfId="4360" xr:uid="{00000000-0005-0000-0000-0000BF140000}"/>
    <cellStyle name="Percent 84" xfId="3361" xr:uid="{00000000-0005-0000-0000-0000C0140000}"/>
    <cellStyle name="Percent 84 2" xfId="4361" xr:uid="{00000000-0005-0000-0000-0000C1140000}"/>
    <cellStyle name="Percent 85" xfId="3362" xr:uid="{00000000-0005-0000-0000-0000C2140000}"/>
    <cellStyle name="Percent 85 2" xfId="4362" xr:uid="{00000000-0005-0000-0000-0000C3140000}"/>
    <cellStyle name="Percent 86" xfId="3363" xr:uid="{00000000-0005-0000-0000-0000C4140000}"/>
    <cellStyle name="Percent 86 2" xfId="4363" xr:uid="{00000000-0005-0000-0000-0000C5140000}"/>
    <cellStyle name="Percent 87" xfId="3364" xr:uid="{00000000-0005-0000-0000-0000C6140000}"/>
    <cellStyle name="Percent 87 2" xfId="4364" xr:uid="{00000000-0005-0000-0000-0000C7140000}"/>
    <cellStyle name="Percent 88" xfId="3365" xr:uid="{00000000-0005-0000-0000-0000C8140000}"/>
    <cellStyle name="Percent 88 2" xfId="4365" xr:uid="{00000000-0005-0000-0000-0000C9140000}"/>
    <cellStyle name="Percent 89" xfId="3366" xr:uid="{00000000-0005-0000-0000-0000CA140000}"/>
    <cellStyle name="Percent 89 2" xfId="4366" xr:uid="{00000000-0005-0000-0000-0000CB140000}"/>
    <cellStyle name="Percent 9" xfId="3367" xr:uid="{00000000-0005-0000-0000-0000CC140000}"/>
    <cellStyle name="Percent 9 2" xfId="3368" xr:uid="{00000000-0005-0000-0000-0000CD140000}"/>
    <cellStyle name="Percent 9 2 2" xfId="3369" xr:uid="{00000000-0005-0000-0000-0000CE140000}"/>
    <cellStyle name="Percent 9 3" xfId="3370" xr:uid="{00000000-0005-0000-0000-0000CF140000}"/>
    <cellStyle name="Percent 9 3 2" xfId="4367" xr:uid="{00000000-0005-0000-0000-0000D0140000}"/>
    <cellStyle name="Percent 9 4" xfId="3371" xr:uid="{00000000-0005-0000-0000-0000D1140000}"/>
    <cellStyle name="Percent 90" xfId="3372" xr:uid="{00000000-0005-0000-0000-0000D2140000}"/>
    <cellStyle name="Percent 90 2" xfId="4368" xr:uid="{00000000-0005-0000-0000-0000D3140000}"/>
    <cellStyle name="Percent 91" xfId="3373" xr:uid="{00000000-0005-0000-0000-0000D4140000}"/>
    <cellStyle name="Percent 91 2" xfId="4369" xr:uid="{00000000-0005-0000-0000-0000D5140000}"/>
    <cellStyle name="Percent 92" xfId="3374" xr:uid="{00000000-0005-0000-0000-0000D6140000}"/>
    <cellStyle name="Percent 92 2" xfId="4370" xr:uid="{00000000-0005-0000-0000-0000D7140000}"/>
    <cellStyle name="Percent 93" xfId="3375" xr:uid="{00000000-0005-0000-0000-0000D8140000}"/>
    <cellStyle name="Percent 93 2" xfId="4371" xr:uid="{00000000-0005-0000-0000-0000D9140000}"/>
    <cellStyle name="Percent 94" xfId="3376" xr:uid="{00000000-0005-0000-0000-0000DA140000}"/>
    <cellStyle name="Percent 94 2" xfId="3377" xr:uid="{00000000-0005-0000-0000-0000DB140000}"/>
    <cellStyle name="Percent 94 2 2" xfId="4373" xr:uid="{00000000-0005-0000-0000-0000DC140000}"/>
    <cellStyle name="Percent 94 3" xfId="4372" xr:uid="{00000000-0005-0000-0000-0000DD140000}"/>
    <cellStyle name="Percent 95" xfId="3378" xr:uid="{00000000-0005-0000-0000-0000DE140000}"/>
    <cellStyle name="Percent 95 2" xfId="3379" xr:uid="{00000000-0005-0000-0000-0000DF140000}"/>
    <cellStyle name="Percent 95 2 2" xfId="4375" xr:uid="{00000000-0005-0000-0000-0000E0140000}"/>
    <cellStyle name="Percent 95 3" xfId="4374" xr:uid="{00000000-0005-0000-0000-0000E1140000}"/>
    <cellStyle name="Percent 96" xfId="3380" xr:uid="{00000000-0005-0000-0000-0000E2140000}"/>
    <cellStyle name="Percent 96 2" xfId="3381" xr:uid="{00000000-0005-0000-0000-0000E3140000}"/>
    <cellStyle name="Percent 96 2 2" xfId="4377" xr:uid="{00000000-0005-0000-0000-0000E4140000}"/>
    <cellStyle name="Percent 96 3" xfId="4376" xr:uid="{00000000-0005-0000-0000-0000E5140000}"/>
    <cellStyle name="Percent 97" xfId="3382" xr:uid="{00000000-0005-0000-0000-0000E6140000}"/>
    <cellStyle name="Percent 97 2" xfId="3383" xr:uid="{00000000-0005-0000-0000-0000E7140000}"/>
    <cellStyle name="Percent 97 2 2" xfId="4379" xr:uid="{00000000-0005-0000-0000-0000E8140000}"/>
    <cellStyle name="Percent 97 3" xfId="4378" xr:uid="{00000000-0005-0000-0000-0000E9140000}"/>
    <cellStyle name="Percent 98" xfId="3384" xr:uid="{00000000-0005-0000-0000-0000EA140000}"/>
    <cellStyle name="Percent 98 2" xfId="3385" xr:uid="{00000000-0005-0000-0000-0000EB140000}"/>
    <cellStyle name="Percent 98 2 2" xfId="4381" xr:uid="{00000000-0005-0000-0000-0000EC140000}"/>
    <cellStyle name="Percent 98 3" xfId="4380" xr:uid="{00000000-0005-0000-0000-0000ED140000}"/>
    <cellStyle name="Percent 99" xfId="3386" xr:uid="{00000000-0005-0000-0000-0000EE140000}"/>
    <cellStyle name="Percent 99 2" xfId="3387" xr:uid="{00000000-0005-0000-0000-0000EF140000}"/>
    <cellStyle name="Percent 99 2 2" xfId="4383" xr:uid="{00000000-0005-0000-0000-0000F0140000}"/>
    <cellStyle name="Percent 99 3" xfId="4382" xr:uid="{00000000-0005-0000-0000-0000F1140000}"/>
    <cellStyle name="PSChar" xfId="61" xr:uid="{00000000-0005-0000-0000-0000F2140000}"/>
    <cellStyle name="PSChar 2" xfId="3388" xr:uid="{00000000-0005-0000-0000-0000F3140000}"/>
    <cellStyle name="PSChar 2 2" xfId="3389" xr:uid="{00000000-0005-0000-0000-0000F4140000}"/>
    <cellStyle name="PSChar 3" xfId="3390" xr:uid="{00000000-0005-0000-0000-0000F5140000}"/>
    <cellStyle name="PSChar 3 2" xfId="3391" xr:uid="{00000000-0005-0000-0000-0000F6140000}"/>
    <cellStyle name="PSChar 4" xfId="3392" xr:uid="{00000000-0005-0000-0000-0000F7140000}"/>
    <cellStyle name="PSChar 4 2" xfId="3393" xr:uid="{00000000-0005-0000-0000-0000F8140000}"/>
    <cellStyle name="PSChar 4 2 2" xfId="3394" xr:uid="{00000000-0005-0000-0000-0000F9140000}"/>
    <cellStyle name="PSChar 4 3" xfId="3395" xr:uid="{00000000-0005-0000-0000-0000FA140000}"/>
    <cellStyle name="PSChar 5" xfId="3396" xr:uid="{00000000-0005-0000-0000-0000FB140000}"/>
    <cellStyle name="PSChar 5 2" xfId="3397" xr:uid="{00000000-0005-0000-0000-0000FC140000}"/>
    <cellStyle name="PSChar 5 2 2" xfId="3398" xr:uid="{00000000-0005-0000-0000-0000FD140000}"/>
    <cellStyle name="PSChar 5 3" xfId="3399" xr:uid="{00000000-0005-0000-0000-0000FE140000}"/>
    <cellStyle name="PSChar 6" xfId="3400" xr:uid="{00000000-0005-0000-0000-0000FF140000}"/>
    <cellStyle name="PSDate" xfId="62" xr:uid="{00000000-0005-0000-0000-000000150000}"/>
    <cellStyle name="PSDate 2" xfId="3401" xr:uid="{00000000-0005-0000-0000-000001150000}"/>
    <cellStyle name="PSDate 2 2" xfId="3402" xr:uid="{00000000-0005-0000-0000-000002150000}"/>
    <cellStyle name="PSDate 3" xfId="3403" xr:uid="{00000000-0005-0000-0000-000003150000}"/>
    <cellStyle name="PSDate 3 2" xfId="3404" xr:uid="{00000000-0005-0000-0000-000004150000}"/>
    <cellStyle name="PSDate 4" xfId="3405" xr:uid="{00000000-0005-0000-0000-000005150000}"/>
    <cellStyle name="PSDate 4 2" xfId="3406" xr:uid="{00000000-0005-0000-0000-000006150000}"/>
    <cellStyle name="PSDate 4 2 2" xfId="3407" xr:uid="{00000000-0005-0000-0000-000007150000}"/>
    <cellStyle name="PSDate 4 3" xfId="3408" xr:uid="{00000000-0005-0000-0000-000008150000}"/>
    <cellStyle name="PSDate 5" xfId="3409" xr:uid="{00000000-0005-0000-0000-000009150000}"/>
    <cellStyle name="PSDate 5 2" xfId="3410" xr:uid="{00000000-0005-0000-0000-00000A150000}"/>
    <cellStyle name="PSDate 5 2 2" xfId="3411" xr:uid="{00000000-0005-0000-0000-00000B150000}"/>
    <cellStyle name="PSDate 5 3" xfId="3412" xr:uid="{00000000-0005-0000-0000-00000C150000}"/>
    <cellStyle name="PSDate 6" xfId="3413" xr:uid="{00000000-0005-0000-0000-00000D150000}"/>
    <cellStyle name="PSDec" xfId="63" xr:uid="{00000000-0005-0000-0000-00000E150000}"/>
    <cellStyle name="PSDec 2" xfId="3414" xr:uid="{00000000-0005-0000-0000-00000F150000}"/>
    <cellStyle name="PSDec 2 2" xfId="3415" xr:uid="{00000000-0005-0000-0000-000010150000}"/>
    <cellStyle name="PSDec 3" xfId="3416" xr:uid="{00000000-0005-0000-0000-000011150000}"/>
    <cellStyle name="PSDec 3 2" xfId="3417" xr:uid="{00000000-0005-0000-0000-000012150000}"/>
    <cellStyle name="PSDec 4" xfId="3418" xr:uid="{00000000-0005-0000-0000-000013150000}"/>
    <cellStyle name="PSDec 4 2" xfId="3419" xr:uid="{00000000-0005-0000-0000-000014150000}"/>
    <cellStyle name="PSDec 4 2 2" xfId="3420" xr:uid="{00000000-0005-0000-0000-000015150000}"/>
    <cellStyle name="PSDec 4 3" xfId="3421" xr:uid="{00000000-0005-0000-0000-000016150000}"/>
    <cellStyle name="PSDec 5" xfId="3422" xr:uid="{00000000-0005-0000-0000-000017150000}"/>
    <cellStyle name="PSDec 5 2" xfId="3423" xr:uid="{00000000-0005-0000-0000-000018150000}"/>
    <cellStyle name="PSDec 5 2 2" xfId="3424" xr:uid="{00000000-0005-0000-0000-000019150000}"/>
    <cellStyle name="PSDec 5 3" xfId="3425" xr:uid="{00000000-0005-0000-0000-00001A150000}"/>
    <cellStyle name="PSDec 6" xfId="3426" xr:uid="{00000000-0005-0000-0000-00001B150000}"/>
    <cellStyle name="PSHeading" xfId="64" xr:uid="{00000000-0005-0000-0000-00001C150000}"/>
    <cellStyle name="PSHeading 2" xfId="3427" xr:uid="{00000000-0005-0000-0000-00001D150000}"/>
    <cellStyle name="PSHeading 2 2" xfId="3428" xr:uid="{00000000-0005-0000-0000-00001E150000}"/>
    <cellStyle name="PSHeading 3" xfId="3429" xr:uid="{00000000-0005-0000-0000-00001F150000}"/>
    <cellStyle name="PSHeading 3 2" xfId="3430" xr:uid="{00000000-0005-0000-0000-000020150000}"/>
    <cellStyle name="PSHeading 4" xfId="3431" xr:uid="{00000000-0005-0000-0000-000021150000}"/>
    <cellStyle name="PSHeading 4 2" xfId="3432" xr:uid="{00000000-0005-0000-0000-000022150000}"/>
    <cellStyle name="PSHeading 4 2 2" xfId="3433" xr:uid="{00000000-0005-0000-0000-000023150000}"/>
    <cellStyle name="PSHeading 4 3" xfId="3434" xr:uid="{00000000-0005-0000-0000-000024150000}"/>
    <cellStyle name="PSHeading 4_I_Secondary" xfId="3435" xr:uid="{00000000-0005-0000-0000-000025150000}"/>
    <cellStyle name="PSHeading 5" xfId="3436" xr:uid="{00000000-0005-0000-0000-000026150000}"/>
    <cellStyle name="PSHeading 5 2" xfId="3437" xr:uid="{00000000-0005-0000-0000-000027150000}"/>
    <cellStyle name="PSHeading 5 2 2" xfId="3438" xr:uid="{00000000-0005-0000-0000-000028150000}"/>
    <cellStyle name="PSHeading 5 3" xfId="3439" xr:uid="{00000000-0005-0000-0000-000029150000}"/>
    <cellStyle name="PSHeading 5_I_Secondary" xfId="3440" xr:uid="{00000000-0005-0000-0000-00002A150000}"/>
    <cellStyle name="PSHeading 6" xfId="3441" xr:uid="{00000000-0005-0000-0000-00002B150000}"/>
    <cellStyle name="PSHeading_358_CGS_Lewis_UT_70Conserv" xfId="3442" xr:uid="{00000000-0005-0000-0000-00002C150000}"/>
    <cellStyle name="PSInt" xfId="65" xr:uid="{00000000-0005-0000-0000-00002D150000}"/>
    <cellStyle name="PSInt 2" xfId="3443" xr:uid="{00000000-0005-0000-0000-00002E150000}"/>
    <cellStyle name="PSInt 2 2" xfId="3444" xr:uid="{00000000-0005-0000-0000-00002F150000}"/>
    <cellStyle name="PSInt 3" xfId="3445" xr:uid="{00000000-0005-0000-0000-000030150000}"/>
    <cellStyle name="PSInt 3 2" xfId="3446" xr:uid="{00000000-0005-0000-0000-000031150000}"/>
    <cellStyle name="PSInt 4" xfId="3447" xr:uid="{00000000-0005-0000-0000-000032150000}"/>
    <cellStyle name="PSInt 4 2" xfId="3448" xr:uid="{00000000-0005-0000-0000-000033150000}"/>
    <cellStyle name="PSInt 4 2 2" xfId="3449" xr:uid="{00000000-0005-0000-0000-000034150000}"/>
    <cellStyle name="PSInt 4 3" xfId="3450" xr:uid="{00000000-0005-0000-0000-000035150000}"/>
    <cellStyle name="PSInt 5" xfId="3451" xr:uid="{00000000-0005-0000-0000-000036150000}"/>
    <cellStyle name="PSInt 5 2" xfId="3452" xr:uid="{00000000-0005-0000-0000-000037150000}"/>
    <cellStyle name="PSInt 5 2 2" xfId="3453" xr:uid="{00000000-0005-0000-0000-000038150000}"/>
    <cellStyle name="PSInt 5 3" xfId="3454" xr:uid="{00000000-0005-0000-0000-000039150000}"/>
    <cellStyle name="PSInt 6" xfId="3455" xr:uid="{00000000-0005-0000-0000-00003A150000}"/>
    <cellStyle name="PSSpacer" xfId="66" xr:uid="{00000000-0005-0000-0000-00003B150000}"/>
    <cellStyle name="PSSpacer 2" xfId="3456" xr:uid="{00000000-0005-0000-0000-00003C150000}"/>
    <cellStyle name="PSSpacer 2 2" xfId="3457" xr:uid="{00000000-0005-0000-0000-00003D150000}"/>
    <cellStyle name="PSSpacer 3" xfId="3458" xr:uid="{00000000-0005-0000-0000-00003E150000}"/>
    <cellStyle name="PSSpacer 3 2" xfId="3459" xr:uid="{00000000-0005-0000-0000-00003F150000}"/>
    <cellStyle name="PSSpacer 4" xfId="3460" xr:uid="{00000000-0005-0000-0000-000040150000}"/>
    <cellStyle name="PSSpacer 4 2" xfId="3461" xr:uid="{00000000-0005-0000-0000-000041150000}"/>
    <cellStyle name="PSSpacer 4 2 2" xfId="3462" xr:uid="{00000000-0005-0000-0000-000042150000}"/>
    <cellStyle name="PSSpacer 4 3" xfId="3463" xr:uid="{00000000-0005-0000-0000-000043150000}"/>
    <cellStyle name="PSSpacer 5" xfId="3464" xr:uid="{00000000-0005-0000-0000-000044150000}"/>
    <cellStyle name="PSSpacer 5 2" xfId="3465" xr:uid="{00000000-0005-0000-0000-000045150000}"/>
    <cellStyle name="PSSpacer 5 2 2" xfId="3466" xr:uid="{00000000-0005-0000-0000-000046150000}"/>
    <cellStyle name="PSSpacer 5 3" xfId="3467" xr:uid="{00000000-0005-0000-0000-000047150000}"/>
    <cellStyle name="PSSpacer 6" xfId="3468" xr:uid="{00000000-0005-0000-0000-000048150000}"/>
    <cellStyle name="Rate" xfId="3469" xr:uid="{00000000-0005-0000-0000-000049150000}"/>
    <cellStyle name="Rate 2" xfId="3470" xr:uid="{00000000-0005-0000-0000-00004A150000}"/>
    <cellStyle name="Rate 3" xfId="3471" xr:uid="{00000000-0005-0000-0000-00004B150000}"/>
    <cellStyle name="Rate 4" xfId="3472" xr:uid="{00000000-0005-0000-0000-00004C150000}"/>
    <cellStyle name="Rate 4 2" xfId="3473" xr:uid="{00000000-0005-0000-0000-00004D150000}"/>
    <cellStyle name="Rate 5" xfId="3474" xr:uid="{00000000-0005-0000-0000-00004E150000}"/>
    <cellStyle name="Rate 5 2" xfId="3475" xr:uid="{00000000-0005-0000-0000-00004F150000}"/>
    <cellStyle name="Rate 6" xfId="3476" xr:uid="{00000000-0005-0000-0000-000050150000}"/>
    <cellStyle name="Reference" xfId="3477" xr:uid="{00000000-0005-0000-0000-000051150000}"/>
    <cellStyle name="RevList" xfId="3478" xr:uid="{00000000-0005-0000-0000-000052150000}"/>
    <cellStyle name="round100" xfId="3479" xr:uid="{00000000-0005-0000-0000-000053150000}"/>
    <cellStyle name="round100 2" xfId="4384" xr:uid="{00000000-0005-0000-0000-000054150000}"/>
    <cellStyle name="SectionBreak" xfId="3480" xr:uid="{00000000-0005-0000-0000-000055150000}"/>
    <cellStyle name="SectionBreak 2" xfId="3481" xr:uid="{00000000-0005-0000-0000-000056150000}"/>
    <cellStyle name="SectionBreak 3" xfId="3482" xr:uid="{00000000-0005-0000-0000-000057150000}"/>
    <cellStyle name="SectionBreak 4" xfId="3483" xr:uid="{00000000-0005-0000-0000-000058150000}"/>
    <cellStyle name="SectionBreak 4 2" xfId="3484" xr:uid="{00000000-0005-0000-0000-000059150000}"/>
    <cellStyle name="SectionBreak 5" xfId="3485" xr:uid="{00000000-0005-0000-0000-00005A150000}"/>
    <cellStyle name="SectionBreak 5 2" xfId="3486" xr:uid="{00000000-0005-0000-0000-00005B150000}"/>
    <cellStyle name="shade" xfId="3487" xr:uid="{00000000-0005-0000-0000-00005C150000}"/>
    <cellStyle name="shade 2" xfId="4385" xr:uid="{00000000-0005-0000-0000-00005D150000}"/>
    <cellStyle name="StmtTtl1" xfId="3488" xr:uid="{00000000-0005-0000-0000-00005E150000}"/>
    <cellStyle name="StmtTtl1 2" xfId="3767" xr:uid="{00000000-0005-0000-0000-00005F150000}"/>
    <cellStyle name="StmtTtl2" xfId="3489" xr:uid="{00000000-0005-0000-0000-000060150000}"/>
    <cellStyle name="STYL1 - Style1" xfId="3490" xr:uid="{00000000-0005-0000-0000-000061150000}"/>
    <cellStyle name="Style 1" xfId="3491" xr:uid="{00000000-0005-0000-0000-000062150000}"/>
    <cellStyle name="Style 1 2" xfId="4386" xr:uid="{00000000-0005-0000-0000-000063150000}"/>
    <cellStyle name="Style 21" xfId="4531" xr:uid="{00000000-0005-0000-0000-000064150000}"/>
    <cellStyle name="Style 21 2" xfId="4532" xr:uid="{00000000-0005-0000-0000-000065150000}"/>
    <cellStyle name="Style 21 2 2" xfId="4562" xr:uid="{00000000-0005-0000-0000-000066150000}"/>
    <cellStyle name="Style 22" xfId="4533" xr:uid="{00000000-0005-0000-0000-000067150000}"/>
    <cellStyle name="Style 22 2" xfId="4534" xr:uid="{00000000-0005-0000-0000-000068150000}"/>
    <cellStyle name="Style 22 2 2" xfId="4563" xr:uid="{00000000-0005-0000-0000-000069150000}"/>
    <cellStyle name="Style 23" xfId="4535" xr:uid="{00000000-0005-0000-0000-00006A150000}"/>
    <cellStyle name="Style 23 2" xfId="4536" xr:uid="{00000000-0005-0000-0000-00006B150000}"/>
    <cellStyle name="Style 23 2 2" xfId="4564" xr:uid="{00000000-0005-0000-0000-00006C150000}"/>
    <cellStyle name="Style 24" xfId="4537" xr:uid="{00000000-0005-0000-0000-00006D150000}"/>
    <cellStyle name="Style 24 2" xfId="4538" xr:uid="{00000000-0005-0000-0000-00006E150000}"/>
    <cellStyle name="Style 24 2 2" xfId="4565" xr:uid="{00000000-0005-0000-0000-00006F150000}"/>
    <cellStyle name="Style 25" xfId="4539" xr:uid="{00000000-0005-0000-0000-000070150000}"/>
    <cellStyle name="Style 25 2" xfId="4540" xr:uid="{00000000-0005-0000-0000-000071150000}"/>
    <cellStyle name="Style 25 2 2" xfId="4566" xr:uid="{00000000-0005-0000-0000-000072150000}"/>
    <cellStyle name="Style 26" xfId="4541" xr:uid="{00000000-0005-0000-0000-000073150000}"/>
    <cellStyle name="Style 26 2" xfId="4542" xr:uid="{00000000-0005-0000-0000-000074150000}"/>
    <cellStyle name="Style 26 2 2" xfId="4567" xr:uid="{00000000-0005-0000-0000-000075150000}"/>
    <cellStyle name="Style 27" xfId="3492" xr:uid="{00000000-0005-0000-0000-000076150000}"/>
    <cellStyle name="Style 27 2" xfId="3493" xr:uid="{00000000-0005-0000-0000-000077150000}"/>
    <cellStyle name="Style 27 2 2" xfId="3494" xr:uid="{00000000-0005-0000-0000-000078150000}"/>
    <cellStyle name="Style 27 3" xfId="3495" xr:uid="{00000000-0005-0000-0000-000079150000}"/>
    <cellStyle name="Style 27 3 2" xfId="3496" xr:uid="{00000000-0005-0000-0000-00007A150000}"/>
    <cellStyle name="Style 28" xfId="3497" xr:uid="{00000000-0005-0000-0000-00007B150000}"/>
    <cellStyle name="Style 28 2" xfId="3498" xr:uid="{00000000-0005-0000-0000-00007C150000}"/>
    <cellStyle name="Style 28 2 2" xfId="3499" xr:uid="{00000000-0005-0000-0000-00007D150000}"/>
    <cellStyle name="Style 28 3" xfId="3500" xr:uid="{00000000-0005-0000-0000-00007E150000}"/>
    <cellStyle name="Style 28 3 2" xfId="3501" xr:uid="{00000000-0005-0000-0000-00007F150000}"/>
    <cellStyle name="styleColumnTitles" xfId="4543" xr:uid="{00000000-0005-0000-0000-000080150000}"/>
    <cellStyle name="styleColumnTitles 2" xfId="4544" xr:uid="{00000000-0005-0000-0000-000081150000}"/>
    <cellStyle name="styleColumnTitles 2 2" xfId="4568" xr:uid="{00000000-0005-0000-0000-000082150000}"/>
    <cellStyle name="styleDateRange" xfId="4545" xr:uid="{00000000-0005-0000-0000-000083150000}"/>
    <cellStyle name="styleDateRange 2" xfId="4546" xr:uid="{00000000-0005-0000-0000-000084150000}"/>
    <cellStyle name="styleDateRange 2 2" xfId="4569" xr:uid="{00000000-0005-0000-0000-000085150000}"/>
    <cellStyle name="styleHidden" xfId="4547" xr:uid="{00000000-0005-0000-0000-000086150000}"/>
    <cellStyle name="styleHidden 2" xfId="4548" xr:uid="{00000000-0005-0000-0000-000087150000}"/>
    <cellStyle name="styleHidden 2 2" xfId="4570" xr:uid="{00000000-0005-0000-0000-000088150000}"/>
    <cellStyle name="styleNormal" xfId="4549" xr:uid="{00000000-0005-0000-0000-000089150000}"/>
    <cellStyle name="styleNormal 2" xfId="4550" xr:uid="{00000000-0005-0000-0000-00008A150000}"/>
    <cellStyle name="styleNormal 2 2" xfId="4571" xr:uid="{00000000-0005-0000-0000-00008B150000}"/>
    <cellStyle name="styleSeriesAttributes" xfId="4551" xr:uid="{00000000-0005-0000-0000-00008C150000}"/>
    <cellStyle name="styleSeriesAttributes 2" xfId="4552" xr:uid="{00000000-0005-0000-0000-00008D150000}"/>
    <cellStyle name="styleSeriesAttributes 2 2" xfId="4572" xr:uid="{00000000-0005-0000-0000-00008E150000}"/>
    <cellStyle name="styleSeriesData" xfId="4553" xr:uid="{00000000-0005-0000-0000-00008F150000}"/>
    <cellStyle name="styleSeriesData 2" xfId="4554" xr:uid="{00000000-0005-0000-0000-000090150000}"/>
    <cellStyle name="styleSeriesData 2 2" xfId="4573" xr:uid="{00000000-0005-0000-0000-000091150000}"/>
    <cellStyle name="styleSeriesDataForecast" xfId="4555" xr:uid="{00000000-0005-0000-0000-000092150000}"/>
    <cellStyle name="styleSeriesDataForecast 2" xfId="4556" xr:uid="{00000000-0005-0000-0000-000093150000}"/>
    <cellStyle name="styleSeriesDataForecast 2 2" xfId="4574" xr:uid="{00000000-0005-0000-0000-000094150000}"/>
    <cellStyle name="styleSeriesDataForecastNA" xfId="4557" xr:uid="{00000000-0005-0000-0000-000095150000}"/>
    <cellStyle name="styleSeriesDataForecastNA 2" xfId="4558" xr:uid="{00000000-0005-0000-0000-000096150000}"/>
    <cellStyle name="styleSeriesDataForecastNA 2 2" xfId="4575" xr:uid="{00000000-0005-0000-0000-000097150000}"/>
    <cellStyle name="styleSeriesDataNA" xfId="4559" xr:uid="{00000000-0005-0000-0000-000098150000}"/>
    <cellStyle name="styleSeriesDataNA 2" xfId="4560" xr:uid="{00000000-0005-0000-0000-000099150000}"/>
    <cellStyle name="styleSeriesDataNA 2 2" xfId="4576" xr:uid="{00000000-0005-0000-0000-00009A150000}"/>
    <cellStyle name="Subtotal" xfId="3502" xr:uid="{00000000-0005-0000-0000-00009B150000}"/>
    <cellStyle name="Table Head" xfId="3503" xr:uid="{00000000-0005-0000-0000-00009C150000}"/>
    <cellStyle name="Table Head Aligned" xfId="3504" xr:uid="{00000000-0005-0000-0000-00009D150000}"/>
    <cellStyle name="Table Head Blue" xfId="3505" xr:uid="{00000000-0005-0000-0000-00009E150000}"/>
    <cellStyle name="Table Head Green" xfId="3506" xr:uid="{00000000-0005-0000-0000-00009F150000}"/>
    <cellStyle name="Table Heading" xfId="3507" xr:uid="{00000000-0005-0000-0000-0000A0150000}"/>
    <cellStyle name="Table Heading 2" xfId="3508" xr:uid="{00000000-0005-0000-0000-0000A1150000}"/>
    <cellStyle name="Table Title" xfId="3509" xr:uid="{00000000-0005-0000-0000-0000A2150000}"/>
    <cellStyle name="Table Units" xfId="3510" xr:uid="{00000000-0005-0000-0000-0000A3150000}"/>
    <cellStyle name="Table Units 2" xfId="3511" xr:uid="{00000000-0005-0000-0000-0000A4150000}"/>
    <cellStyle name="Table Units 2 2" xfId="3512" xr:uid="{00000000-0005-0000-0000-0000A5150000}"/>
    <cellStyle name="Table Units 3" xfId="3513" xr:uid="{00000000-0005-0000-0000-0000A6150000}"/>
    <cellStyle name="Table Units_I_Secondary" xfId="3514" xr:uid="{00000000-0005-0000-0000-0000A7150000}"/>
    <cellStyle name="Title" xfId="4600" builtinId="15" customBuiltin="1"/>
    <cellStyle name="Title 2" xfId="371" xr:uid="{00000000-0005-0000-0000-0000A9150000}"/>
    <cellStyle name="Title 2 2" xfId="3515" xr:uid="{00000000-0005-0000-0000-0000AA150000}"/>
    <cellStyle name="Title 2 2 2" xfId="3516" xr:uid="{00000000-0005-0000-0000-0000AB150000}"/>
    <cellStyle name="Title 2 2 3" xfId="3517" xr:uid="{00000000-0005-0000-0000-0000AC150000}"/>
    <cellStyle name="Title 2 2 4" xfId="3518" xr:uid="{00000000-0005-0000-0000-0000AD150000}"/>
    <cellStyle name="Title 2 3" xfId="3519" xr:uid="{00000000-0005-0000-0000-0000AE150000}"/>
    <cellStyle name="Title 2 4" xfId="3520" xr:uid="{00000000-0005-0000-0000-0000AF150000}"/>
    <cellStyle name="Title 2 5" xfId="3521" xr:uid="{00000000-0005-0000-0000-0000B0150000}"/>
    <cellStyle name="Title 2 6" xfId="3522" xr:uid="{00000000-0005-0000-0000-0000B1150000}"/>
    <cellStyle name="Title 2 6 2" xfId="3768" xr:uid="{00000000-0005-0000-0000-0000B2150000}"/>
    <cellStyle name="Title 3" xfId="372" xr:uid="{00000000-0005-0000-0000-0000B3150000}"/>
    <cellStyle name="Title 4" xfId="3523" xr:uid="{00000000-0005-0000-0000-0000B4150000}"/>
    <cellStyle name="Title 4 2" xfId="3524" xr:uid="{00000000-0005-0000-0000-0000B5150000}"/>
    <cellStyle name="Title 5" xfId="3525" xr:uid="{00000000-0005-0000-0000-0000B6150000}"/>
    <cellStyle name="Title 5 2" xfId="3526" xr:uid="{00000000-0005-0000-0000-0000B7150000}"/>
    <cellStyle name="Title: Minor" xfId="3527" xr:uid="{00000000-0005-0000-0000-0000B8150000}"/>
    <cellStyle name="Title: Worksheet" xfId="3528" xr:uid="{00000000-0005-0000-0000-0000B9150000}"/>
    <cellStyle name="Total" xfId="4612" builtinId="25" customBuiltin="1"/>
    <cellStyle name="Total 2" xfId="373" xr:uid="{00000000-0005-0000-0000-0000BB150000}"/>
    <cellStyle name="Total 2 2" xfId="374" xr:uid="{00000000-0005-0000-0000-0000BC150000}"/>
    <cellStyle name="Total 2 2 2" xfId="3529" xr:uid="{00000000-0005-0000-0000-0000BD150000}"/>
    <cellStyle name="Total 2 2 2 2" xfId="3530" xr:uid="{00000000-0005-0000-0000-0000BE150000}"/>
    <cellStyle name="Total 2 2 3" xfId="3531" xr:uid="{00000000-0005-0000-0000-0000BF150000}"/>
    <cellStyle name="Total 2 2 3 2" xfId="3532" xr:uid="{00000000-0005-0000-0000-0000C0150000}"/>
    <cellStyle name="Total 2 2 4" xfId="3533" xr:uid="{00000000-0005-0000-0000-0000C1150000}"/>
    <cellStyle name="Total 2 2 5" xfId="3534" xr:uid="{00000000-0005-0000-0000-0000C2150000}"/>
    <cellStyle name="Total 2 3" xfId="375" xr:uid="{00000000-0005-0000-0000-0000C3150000}"/>
    <cellStyle name="Total 2 3 2" xfId="3769" xr:uid="{00000000-0005-0000-0000-0000C4150000}"/>
    <cellStyle name="Total 2 4" xfId="3535" xr:uid="{00000000-0005-0000-0000-0000C5150000}"/>
    <cellStyle name="Total 2 5" xfId="3536" xr:uid="{00000000-0005-0000-0000-0000C6150000}"/>
    <cellStyle name="Total 2 6" xfId="3537" xr:uid="{00000000-0005-0000-0000-0000C7150000}"/>
    <cellStyle name="Total 2 6 2" xfId="3770" xr:uid="{00000000-0005-0000-0000-0000C8150000}"/>
    <cellStyle name="Total 2 7" xfId="3538" xr:uid="{00000000-0005-0000-0000-0000C9150000}"/>
    <cellStyle name="Total 2_QC" xfId="3539" xr:uid="{00000000-0005-0000-0000-0000CA150000}"/>
    <cellStyle name="Total 3" xfId="376" xr:uid="{00000000-0005-0000-0000-0000CB150000}"/>
    <cellStyle name="Total 3 2" xfId="3540" xr:uid="{00000000-0005-0000-0000-0000CC150000}"/>
    <cellStyle name="Total 3 3" xfId="3541" xr:uid="{00000000-0005-0000-0000-0000CD150000}"/>
    <cellStyle name="Total 4" xfId="377" xr:uid="{00000000-0005-0000-0000-0000CE150000}"/>
    <cellStyle name="Total 4 2" xfId="3542" xr:uid="{00000000-0005-0000-0000-0000CF150000}"/>
    <cellStyle name="Total 4 3" xfId="3543" xr:uid="{00000000-0005-0000-0000-0000D0150000}"/>
    <cellStyle name="Total 5" xfId="3544" xr:uid="{00000000-0005-0000-0000-0000D1150000}"/>
    <cellStyle name="Total 5 2" xfId="3545" xr:uid="{00000000-0005-0000-0000-0000D2150000}"/>
    <cellStyle name="Total 6" xfId="3546" xr:uid="{00000000-0005-0000-0000-0000D3150000}"/>
    <cellStyle name="Total 7" xfId="3547" xr:uid="{00000000-0005-0000-0000-0000D4150000}"/>
    <cellStyle name="Total 7 2" xfId="3548" xr:uid="{00000000-0005-0000-0000-0000D5150000}"/>
    <cellStyle name="Unprot" xfId="3549" xr:uid="{00000000-0005-0000-0000-0000D6150000}"/>
    <cellStyle name="Unprot 2" xfId="3550" xr:uid="{00000000-0005-0000-0000-0000D7150000}"/>
    <cellStyle name="Unprot$" xfId="3551" xr:uid="{00000000-0005-0000-0000-0000D8150000}"/>
    <cellStyle name="Unprot$ 2" xfId="3552" xr:uid="{00000000-0005-0000-0000-0000D9150000}"/>
    <cellStyle name="Unprot$ 2 2" xfId="3553" xr:uid="{00000000-0005-0000-0000-0000DA150000}"/>
    <cellStyle name="Unprot_Current Summary" xfId="3554" xr:uid="{00000000-0005-0000-0000-0000DB150000}"/>
    <cellStyle name="Unprotect" xfId="3555" xr:uid="{00000000-0005-0000-0000-0000DC150000}"/>
    <cellStyle name="v" xfId="378" xr:uid="{00000000-0005-0000-0000-0000DD150000}"/>
    <cellStyle name="v 2" xfId="3556" xr:uid="{00000000-0005-0000-0000-0000DE150000}"/>
    <cellStyle name="Warning Text" xfId="4610" builtinId="11" customBuiltin="1"/>
    <cellStyle name="Warning Text 2" xfId="379" xr:uid="{00000000-0005-0000-0000-0000E0150000}"/>
    <cellStyle name="Warning Text 2 2" xfId="380" xr:uid="{00000000-0005-0000-0000-0000E1150000}"/>
    <cellStyle name="Warning Text 2 2 2" xfId="3557" xr:uid="{00000000-0005-0000-0000-0000E2150000}"/>
    <cellStyle name="Warning Text 2 2 3" xfId="3558" xr:uid="{00000000-0005-0000-0000-0000E3150000}"/>
    <cellStyle name="Warning Text 2 3" xfId="381" xr:uid="{00000000-0005-0000-0000-0000E4150000}"/>
    <cellStyle name="Warning Text 2 3 2" xfId="3559" xr:uid="{00000000-0005-0000-0000-0000E5150000}"/>
    <cellStyle name="Warning Text 2 3 3" xfId="4731" xr:uid="{00000000-0005-0000-0000-0000E6150000}"/>
    <cellStyle name="Warning Text 2 4" xfId="3560" xr:uid="{00000000-0005-0000-0000-0000E7150000}"/>
    <cellStyle name="Warning Text 2 5" xfId="3561" xr:uid="{00000000-0005-0000-0000-0000E8150000}"/>
    <cellStyle name="Warning Text 2 6" xfId="3562" xr:uid="{00000000-0005-0000-0000-0000E9150000}"/>
    <cellStyle name="Warning Text 2 6 2" xfId="3771" xr:uid="{00000000-0005-0000-0000-0000EA150000}"/>
    <cellStyle name="Warning Text 3" xfId="382" xr:uid="{00000000-0005-0000-0000-0000EB150000}"/>
    <cellStyle name="Warning Text 3 2" xfId="3563" xr:uid="{00000000-0005-0000-0000-0000EC150000}"/>
    <cellStyle name="Warning Text 4" xfId="383" xr:uid="{00000000-0005-0000-0000-0000ED150000}"/>
    <cellStyle name="Warning Text 4 2" xfId="3564" xr:uid="{00000000-0005-0000-0000-0000EE150000}"/>
    <cellStyle name="Warning Text 4 3" xfId="4676" xr:uid="{00000000-0005-0000-0000-0000EF150000}"/>
    <cellStyle name="Warning Text 5" xfId="3565" xr:uid="{00000000-0005-0000-0000-0000F0150000}"/>
    <cellStyle name="Warning Text 6" xfId="3566" xr:uid="{00000000-0005-0000-0000-0000F1150000}"/>
    <cellStyle name="Warning Text 7" xfId="3567" xr:uid="{00000000-0005-0000-0000-0000F2150000}"/>
    <cellStyle name="Warning Text 7 2" xfId="3568" xr:uid="{00000000-0005-0000-0000-0000F3150000}"/>
  </cellStyles>
  <dxfs count="38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 val="0"/>
        <strike val="0"/>
      </font>
      <fill>
        <patternFill>
          <bgColor rgb="FFFFFF00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ndense val="0"/>
        <extend val="0"/>
        <color indexed="10"/>
      </font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9" defaultPivotStyle="PivotStyleLight16"/>
  <colors>
    <mruColors>
      <color rgb="FF008000"/>
      <color rgb="FFE0FFA3"/>
      <color rgb="FFFFFF69"/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microsoft.com/office/2007/relationships/customDataProps" Target="customData/itemProps1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onnections" Target="connections.xml"/><Relationship Id="rId23" Type="http://schemas.openxmlformats.org/officeDocument/2006/relationships/customXml" Target="../customXml/item4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Relationship Id="rId22" Type="http://schemas.openxmlformats.org/officeDocument/2006/relationships/customXml" Target="../customXml/item3.xml"/></Relationships>
</file>

<file path=xl/customData/_rels/itemProps1.xml.rels><?xml version="1.0" encoding="UTF-8" standalone="yes"?>
<Relationships xmlns="http://schemas.openxmlformats.org/package/2006/relationships"><Relationship Id="rId1" Type="http://schemas.microsoft.com/office/2007/relationships/customData" Target="item1.data"/></Relationships>
</file>

<file path=xl/customData/itemProps1.xml><?xml version="1.0" encoding="utf-8"?>
<datastoreItem xmlns="http://schemas.microsoft.com/office/spreadsheetml/2009/9/main" id="Microsoft_SQLServer_AnalysisServices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1">
    <tabColor theme="3" tint="0.79998168889431442"/>
    <pageSetUpPr fitToPage="1"/>
  </sheetPr>
  <dimension ref="A1:I67"/>
  <sheetViews>
    <sheetView showGridLines="0" tabSelected="1" zoomScaleNormal="100" workbookViewId="0">
      <selection sqref="A1:I1"/>
    </sheetView>
  </sheetViews>
  <sheetFormatPr defaultColWidth="8" defaultRowHeight="14.25"/>
  <cols>
    <col min="1" max="1" width="4.28515625" style="73" customWidth="1"/>
    <col min="2" max="2" width="48.42578125" style="74" customWidth="1"/>
    <col min="3" max="9" width="14.28515625" style="75" customWidth="1"/>
    <col min="10" max="16384" width="8" style="23"/>
  </cols>
  <sheetData>
    <row r="1" spans="1:9" ht="19.5" customHeight="1">
      <c r="A1" s="534" t="s">
        <v>133</v>
      </c>
      <c r="B1" s="534"/>
      <c r="C1" s="534"/>
      <c r="D1" s="534"/>
      <c r="E1" s="534"/>
      <c r="F1" s="534"/>
      <c r="G1" s="534"/>
      <c r="H1" s="534"/>
      <c r="I1" s="534"/>
    </row>
    <row r="2" spans="1:9" ht="19.5" customHeight="1">
      <c r="A2" s="534" t="s">
        <v>134</v>
      </c>
      <c r="B2" s="534"/>
      <c r="C2" s="534"/>
      <c r="D2" s="534"/>
      <c r="E2" s="534"/>
      <c r="F2" s="534"/>
      <c r="G2" s="534"/>
      <c r="H2" s="534"/>
      <c r="I2" s="534"/>
    </row>
    <row r="3" spans="1:9" ht="19.5" customHeight="1">
      <c r="A3" s="535" t="s">
        <v>139</v>
      </c>
      <c r="B3" s="536"/>
      <c r="C3" s="536"/>
      <c r="D3" s="536"/>
      <c r="E3" s="536"/>
      <c r="F3" s="536"/>
      <c r="G3" s="536"/>
      <c r="H3" s="536"/>
      <c r="I3" s="536"/>
    </row>
    <row r="4" spans="1:9" ht="15">
      <c r="A4" s="67"/>
      <c r="B4" s="66" t="s">
        <v>0</v>
      </c>
      <c r="C4" s="66" t="s">
        <v>1</v>
      </c>
      <c r="D4" s="66" t="s">
        <v>2</v>
      </c>
      <c r="E4" s="66" t="s">
        <v>3</v>
      </c>
      <c r="F4" s="66" t="s">
        <v>4</v>
      </c>
      <c r="G4" s="66" t="s">
        <v>5</v>
      </c>
      <c r="H4" s="66" t="s">
        <v>7</v>
      </c>
      <c r="I4" s="66" t="s">
        <v>32</v>
      </c>
    </row>
    <row r="5" spans="1:9" ht="15" customHeight="1">
      <c r="A5" s="68"/>
      <c r="B5" s="69"/>
      <c r="C5" s="526" t="s">
        <v>12</v>
      </c>
      <c r="D5" s="520" t="s">
        <v>303</v>
      </c>
      <c r="E5" s="522" t="s">
        <v>13</v>
      </c>
      <c r="F5" s="522" t="s">
        <v>10</v>
      </c>
      <c r="G5" s="322"/>
      <c r="H5" s="145" t="s">
        <v>9</v>
      </c>
      <c r="I5" s="524" t="s">
        <v>305</v>
      </c>
    </row>
    <row r="6" spans="1:9" ht="15">
      <c r="A6" s="67"/>
      <c r="B6" s="294"/>
      <c r="C6" s="527"/>
      <c r="D6" s="521"/>
      <c r="E6" s="523"/>
      <c r="F6" s="18" t="s">
        <v>14</v>
      </c>
      <c r="G6" s="18" t="s">
        <v>15</v>
      </c>
      <c r="H6" s="18" t="s">
        <v>20</v>
      </c>
      <c r="I6" s="525"/>
    </row>
    <row r="7" spans="1:9" ht="15">
      <c r="A7" s="67"/>
      <c r="B7" s="297"/>
      <c r="C7" s="242"/>
      <c r="D7" s="240"/>
      <c r="E7" s="145"/>
      <c r="F7" s="145"/>
      <c r="G7" s="145"/>
      <c r="H7" s="145"/>
      <c r="I7" s="241"/>
    </row>
    <row r="8" spans="1:9" ht="15" customHeight="1">
      <c r="A8" s="1">
        <f>MAX($A$4:A7)+1</f>
        <v>1</v>
      </c>
      <c r="B8" s="12" t="s">
        <v>448</v>
      </c>
      <c r="C8" s="13"/>
      <c r="D8" s="14"/>
      <c r="E8" s="14"/>
      <c r="F8" s="14"/>
      <c r="G8" s="14"/>
      <c r="H8" s="14"/>
      <c r="I8" s="15"/>
    </row>
    <row r="9" spans="1:9" ht="14.25" customHeight="1">
      <c r="A9" s="1">
        <f>MAX($A$4:A8)+1</f>
        <v>2</v>
      </c>
      <c r="B9" s="2" t="s">
        <v>91</v>
      </c>
      <c r="C9" s="3">
        <f t="shared" ref="C9:C16" si="0">SUM(D9:I9)</f>
        <v>7317878.0018014582</v>
      </c>
      <c r="D9" s="562">
        <v>150300.57693910119</v>
      </c>
      <c r="E9" s="562">
        <v>6080490.8297334304</v>
      </c>
      <c r="F9" s="562">
        <v>753677.18312976067</v>
      </c>
      <c r="G9" s="562">
        <v>77859.79412678782</v>
      </c>
      <c r="H9" s="562">
        <v>6156.7819750385715</v>
      </c>
      <c r="I9" s="562">
        <v>249392.8358973393</v>
      </c>
    </row>
    <row r="10" spans="1:9" ht="15" customHeight="1">
      <c r="A10" s="1">
        <f>MAX($A$4:A9)+1</f>
        <v>3</v>
      </c>
      <c r="B10" s="4" t="s">
        <v>92</v>
      </c>
      <c r="C10" s="5">
        <f t="shared" si="0"/>
        <v>1</v>
      </c>
      <c r="D10" s="563">
        <f t="shared" ref="D10" si="1">D9/$C$9</f>
        <v>2.0538819710044547E-2</v>
      </c>
      <c r="E10" s="563">
        <f t="shared" ref="E10:I10" si="2">E9/$C$9</f>
        <v>0.83090901873966505</v>
      </c>
      <c r="F10" s="563">
        <f t="shared" si="2"/>
        <v>0.10299121998812037</v>
      </c>
      <c r="G10" s="563">
        <f t="shared" si="2"/>
        <v>1.0639668235466743E-2</v>
      </c>
      <c r="H10" s="563">
        <f t="shared" si="2"/>
        <v>8.4133432854755755E-4</v>
      </c>
      <c r="I10" s="563">
        <f t="shared" si="2"/>
        <v>3.4079938998155708E-2</v>
      </c>
    </row>
    <row r="11" spans="1:9" ht="15" customHeight="1">
      <c r="A11" s="1">
        <f>MAX($A$4:A10)+1</f>
        <v>4</v>
      </c>
      <c r="B11" s="2" t="s">
        <v>16</v>
      </c>
      <c r="C11" s="6">
        <f t="shared" si="0"/>
        <v>672720.89752000012</v>
      </c>
      <c r="D11" s="564">
        <v>11056.015235732164</v>
      </c>
      <c r="E11" s="564">
        <v>426239.68566882587</v>
      </c>
      <c r="F11" s="564">
        <v>54194.447560341534</v>
      </c>
      <c r="G11" s="564">
        <v>5190.6852985774822</v>
      </c>
      <c r="H11" s="564">
        <v>720.38083127527148</v>
      </c>
      <c r="I11" s="564">
        <v>175319.6829252477</v>
      </c>
    </row>
    <row r="12" spans="1:9" ht="15" customHeight="1">
      <c r="A12" s="1">
        <f>MAX($A$4:A11)+1</f>
        <v>5</v>
      </c>
      <c r="B12" s="2" t="s">
        <v>84</v>
      </c>
      <c r="C12" s="6">
        <f t="shared" si="0"/>
        <v>138189.92795704294</v>
      </c>
      <c r="D12" s="564">
        <v>88.929594976478313</v>
      </c>
      <c r="E12" s="564">
        <v>16175.966211226938</v>
      </c>
      <c r="F12" s="564">
        <v>2210.3989606509299</v>
      </c>
      <c r="G12" s="564">
        <v>40.582684081387491</v>
      </c>
      <c r="H12" s="564">
        <v>6.7623132944856206</v>
      </c>
      <c r="I12" s="564">
        <v>119667.2881928127</v>
      </c>
    </row>
    <row r="13" spans="1:9" ht="15" customHeight="1">
      <c r="A13" s="1">
        <f>MAX($A$4:A12)+1</f>
        <v>6</v>
      </c>
      <c r="B13" s="2" t="s">
        <v>17</v>
      </c>
      <c r="C13" s="6">
        <f t="shared" si="0"/>
        <v>422525.04538599995</v>
      </c>
      <c r="D13" s="564">
        <v>7157.4365620426433</v>
      </c>
      <c r="E13" s="564">
        <v>316735.02031646349</v>
      </c>
      <c r="F13" s="564">
        <v>39646.270758459359</v>
      </c>
      <c r="G13" s="564">
        <v>4608.8953244521999</v>
      </c>
      <c r="H13" s="564">
        <v>306.1300377631722</v>
      </c>
      <c r="I13" s="564">
        <v>54071.292386819136</v>
      </c>
    </row>
    <row r="14" spans="1:9" ht="15" customHeight="1">
      <c r="A14" s="1">
        <f>MAX($A$4:A13)+1</f>
        <v>7</v>
      </c>
      <c r="B14" s="2" t="s">
        <v>80</v>
      </c>
      <c r="C14" s="6">
        <f t="shared" si="0"/>
        <v>165550.34717811094</v>
      </c>
      <c r="D14" s="564">
        <v>3223.360435187697</v>
      </c>
      <c r="E14" s="564">
        <v>139013.32258029241</v>
      </c>
      <c r="F14" s="564">
        <v>16163.334275389265</v>
      </c>
      <c r="G14" s="564">
        <v>1669.7885330262941</v>
      </c>
      <c r="H14" s="564">
        <v>132.03893045904346</v>
      </c>
      <c r="I14" s="564">
        <v>5348.5024237562238</v>
      </c>
    </row>
    <row r="15" spans="1:9" ht="15" customHeight="1">
      <c r="A15" s="1">
        <f>MAX($A$4:A14)+1</f>
        <v>8</v>
      </c>
      <c r="B15" s="2" t="s">
        <v>78</v>
      </c>
      <c r="C15" s="6">
        <f t="shared" si="0"/>
        <v>139149.77698231931</v>
      </c>
      <c r="D15" s="564">
        <v>2281.2317893378117</v>
      </c>
      <c r="E15" s="564">
        <v>120369.03392729761</v>
      </c>
      <c r="F15" s="564">
        <v>11439.090573984895</v>
      </c>
      <c r="G15" s="564">
        <v>1181.7402240930351</v>
      </c>
      <c r="H15" s="564">
        <v>93.446392871604189</v>
      </c>
      <c r="I15" s="564">
        <v>3785.234074734356</v>
      </c>
    </row>
    <row r="16" spans="1:9" ht="15" customHeight="1">
      <c r="A16" s="1">
        <f>MAX($A$4:A15)+1</f>
        <v>9</v>
      </c>
      <c r="B16" s="484" t="s">
        <v>85</v>
      </c>
      <c r="C16" s="485">
        <f t="shared" si="0"/>
        <v>1538135.9950234732</v>
      </c>
      <c r="D16" s="485">
        <f>SUM(D11:D15)</f>
        <v>23806.973617276795</v>
      </c>
      <c r="E16" s="486">
        <f t="shared" ref="E16:I16" si="3">SUM(E11:E15)</f>
        <v>1018533.0287041062</v>
      </c>
      <c r="F16" s="485">
        <f t="shared" si="3"/>
        <v>123653.54212882598</v>
      </c>
      <c r="G16" s="485">
        <f t="shared" si="3"/>
        <v>12691.692064230399</v>
      </c>
      <c r="H16" s="485">
        <f t="shared" si="3"/>
        <v>1258.7585056635771</v>
      </c>
      <c r="I16" s="485">
        <f t="shared" si="3"/>
        <v>358192.00000337017</v>
      </c>
    </row>
    <row r="17" spans="1:9" ht="15" customHeight="1">
      <c r="A17" s="1"/>
      <c r="B17" s="8"/>
      <c r="C17" s="9"/>
      <c r="D17" s="519">
        <f>D16/$C$16</f>
        <v>1.5477808005470597E-2</v>
      </c>
      <c r="E17" s="519">
        <f t="shared" ref="E17:I17" si="4">E16/$C$16</f>
        <v>0.66218658948200648</v>
      </c>
      <c r="F17" s="519">
        <f t="shared" si="4"/>
        <v>8.0391813551531202E-2</v>
      </c>
      <c r="G17" s="519">
        <f t="shared" si="4"/>
        <v>8.2513458532232804E-3</v>
      </c>
      <c r="H17" s="519">
        <f t="shared" si="4"/>
        <v>8.183661976159445E-4</v>
      </c>
      <c r="I17" s="519">
        <f t="shared" si="4"/>
        <v>0.23287407691015247</v>
      </c>
    </row>
    <row r="18" spans="1:9" ht="15" customHeight="1">
      <c r="A18" s="1">
        <f>MAX($A$4:A17)+1</f>
        <v>10</v>
      </c>
      <c r="B18" s="12" t="s">
        <v>449</v>
      </c>
      <c r="C18" s="16"/>
      <c r="D18" s="16"/>
      <c r="E18" s="16"/>
      <c r="F18" s="16"/>
      <c r="G18" s="16"/>
      <c r="H18" s="16"/>
      <c r="I18" s="16"/>
    </row>
    <row r="19" spans="1:9" ht="15" customHeight="1">
      <c r="A19" s="1">
        <f>MAX($A$4:A18)+1</f>
        <v>11</v>
      </c>
      <c r="B19" s="2" t="s">
        <v>91</v>
      </c>
      <c r="C19" s="3">
        <f>SUM(D19:I19)</f>
        <v>7908898.3324813405</v>
      </c>
      <c r="D19" s="562">
        <v>144702.96083405861</v>
      </c>
      <c r="E19" s="562">
        <v>6597268.5373600898</v>
      </c>
      <c r="F19" s="562">
        <v>726325.12574834609</v>
      </c>
      <c r="G19" s="562">
        <v>73803.458275169367</v>
      </c>
      <c r="H19" s="562">
        <v>5957.0563096323376</v>
      </c>
      <c r="I19" s="562">
        <v>360841.19395404489</v>
      </c>
    </row>
    <row r="20" spans="1:9" ht="15" customHeight="1">
      <c r="A20" s="1">
        <f>MAX($A$4:A19)+1</f>
        <v>12</v>
      </c>
      <c r="B20" s="4" t="s">
        <v>92</v>
      </c>
      <c r="C20" s="5">
        <f t="shared" ref="C20:C26" si="5">SUM(D20:I20)</f>
        <v>1</v>
      </c>
      <c r="D20" s="563">
        <f t="shared" ref="D20" si="6">D19/$C$19</f>
        <v>1.8296222147624882E-2</v>
      </c>
      <c r="E20" s="563">
        <f t="shared" ref="E20:G20" si="7">E19/$C$19</f>
        <v>0.83415771198695643</v>
      </c>
      <c r="F20" s="563">
        <f t="shared" si="7"/>
        <v>9.1836447405749949E-2</v>
      </c>
      <c r="G20" s="563">
        <f t="shared" si="7"/>
        <v>9.3316989513018873E-3</v>
      </c>
      <c r="H20" s="563">
        <f>H19/$C$19</f>
        <v>7.5320936737384621E-4</v>
      </c>
      <c r="I20" s="563">
        <f>I19/$C$19</f>
        <v>4.5624710140993105E-2</v>
      </c>
    </row>
    <row r="21" spans="1:9" ht="15" customHeight="1">
      <c r="A21" s="1">
        <f>MAX($A$4:A20)+1</f>
        <v>13</v>
      </c>
      <c r="B21" s="2" t="s">
        <v>16</v>
      </c>
      <c r="C21" s="6">
        <f t="shared" si="5"/>
        <v>725207.7458700001</v>
      </c>
      <c r="D21" s="564">
        <v>11967.596035851981</v>
      </c>
      <c r="E21" s="564">
        <v>461383.37319140695</v>
      </c>
      <c r="F21" s="564">
        <v>58662.84026926638</v>
      </c>
      <c r="G21" s="564">
        <v>5618.6630967949504</v>
      </c>
      <c r="H21" s="564">
        <v>779.77703511212371</v>
      </c>
      <c r="I21" s="564">
        <v>186795.49624156763</v>
      </c>
    </row>
    <row r="22" spans="1:9" ht="15" customHeight="1">
      <c r="A22" s="1">
        <f>MAX($A$4:A21)+1</f>
        <v>14</v>
      </c>
      <c r="B22" s="2" t="s">
        <v>84</v>
      </c>
      <c r="C22" s="11">
        <f t="shared" si="5"/>
        <v>138189.92795704291</v>
      </c>
      <c r="D22" s="564">
        <v>88.547253877658378</v>
      </c>
      <c r="E22" s="564">
        <v>16176.5200061787</v>
      </c>
      <c r="F22" s="564">
        <v>2208.4972807781405</v>
      </c>
      <c r="G22" s="564">
        <v>40.359694108145348</v>
      </c>
      <c r="H22" s="564">
        <v>6.7472888371272743</v>
      </c>
      <c r="I22" s="564">
        <v>119669.25643326314</v>
      </c>
    </row>
    <row r="23" spans="1:9" ht="15" customHeight="1">
      <c r="A23" s="1">
        <f>MAX($A$4:A22)+1</f>
        <v>15</v>
      </c>
      <c r="B23" s="2" t="s">
        <v>17</v>
      </c>
      <c r="C23" s="11">
        <f t="shared" si="5"/>
        <v>454170.31601549999</v>
      </c>
      <c r="D23" s="564">
        <v>7324.2966006859115</v>
      </c>
      <c r="E23" s="564">
        <v>341646.89578116091</v>
      </c>
      <c r="F23" s="564">
        <v>40492.186383696848</v>
      </c>
      <c r="G23" s="564">
        <v>4687.23439427425</v>
      </c>
      <c r="H23" s="564">
        <v>317.0021983727176</v>
      </c>
      <c r="I23" s="564">
        <v>59702.700657309353</v>
      </c>
    </row>
    <row r="24" spans="1:9" ht="15" customHeight="1">
      <c r="A24" s="1">
        <f>MAX($A$4:A23)+1</f>
        <v>16</v>
      </c>
      <c r="B24" s="2" t="s">
        <v>80</v>
      </c>
      <c r="C24" s="11">
        <f t="shared" si="5"/>
        <v>192298.7006903039</v>
      </c>
      <c r="D24" s="564">
        <v>3365.955564121421</v>
      </c>
      <c r="E24" s="564">
        <v>161788.77039215725</v>
      </c>
      <c r="F24" s="564">
        <v>16895.077518173133</v>
      </c>
      <c r="G24" s="564">
        <v>1716.7524396241615</v>
      </c>
      <c r="H24" s="564">
        <v>138.56790984522934</v>
      </c>
      <c r="I24" s="564">
        <v>8393.5768663826875</v>
      </c>
    </row>
    <row r="25" spans="1:9" ht="15" customHeight="1">
      <c r="A25" s="1">
        <f>MAX($A$4:A24)+1</f>
        <v>17</v>
      </c>
      <c r="B25" s="295" t="s">
        <v>78</v>
      </c>
      <c r="C25" s="7">
        <f t="shared" si="5"/>
        <v>152591.79760033663</v>
      </c>
      <c r="D25" s="564">
        <v>2150.222233161518</v>
      </c>
      <c r="E25" s="564">
        <v>133101.60255481565</v>
      </c>
      <c r="F25" s="564">
        <v>10792.825579099865</v>
      </c>
      <c r="G25" s="564">
        <v>1096.6868677238983</v>
      </c>
      <c r="H25" s="564">
        <v>88.519231723638057</v>
      </c>
      <c r="I25" s="564">
        <v>5361.9411338120635</v>
      </c>
    </row>
    <row r="26" spans="1:9" ht="15" customHeight="1">
      <c r="A26" s="1">
        <f>MAX($A$4:A25)+1</f>
        <v>18</v>
      </c>
      <c r="B26" s="484" t="s">
        <v>85</v>
      </c>
      <c r="C26" s="485">
        <f t="shared" si="5"/>
        <v>1662458.4881331837</v>
      </c>
      <c r="D26" s="485">
        <f t="shared" ref="D26:I26" si="8">SUM(D21:D25)</f>
        <v>24896.61768769849</v>
      </c>
      <c r="E26" s="486">
        <f t="shared" si="8"/>
        <v>1114097.1619257196</v>
      </c>
      <c r="F26" s="485">
        <f t="shared" si="8"/>
        <v>129051.42703101436</v>
      </c>
      <c r="G26" s="485">
        <f t="shared" si="8"/>
        <v>13159.696492525405</v>
      </c>
      <c r="H26" s="485">
        <f t="shared" si="8"/>
        <v>1330.6136638908358</v>
      </c>
      <c r="I26" s="485">
        <f t="shared" si="8"/>
        <v>379922.97133233486</v>
      </c>
    </row>
    <row r="27" spans="1:9" ht="15" customHeight="1">
      <c r="A27" s="1"/>
      <c r="B27" s="8"/>
      <c r="C27" s="9"/>
      <c r="D27" s="9"/>
      <c r="E27" s="10"/>
      <c r="F27" s="9"/>
      <c r="G27" s="9"/>
      <c r="H27" s="9"/>
      <c r="I27" s="9"/>
    </row>
    <row r="28" spans="1:9" ht="15" customHeight="1">
      <c r="A28" s="1">
        <f>MAX($A$4:A27)+1</f>
        <v>19</v>
      </c>
      <c r="B28" s="12" t="s">
        <v>450</v>
      </c>
      <c r="C28" s="13"/>
      <c r="D28" s="14"/>
      <c r="E28" s="14"/>
      <c r="F28" s="14"/>
      <c r="G28" s="14"/>
      <c r="H28" s="14"/>
      <c r="I28" s="15"/>
    </row>
    <row r="29" spans="1:9" ht="15" customHeight="1">
      <c r="A29" s="1">
        <f>MAX($A$4:A28)+1</f>
        <v>20</v>
      </c>
      <c r="B29" s="2" t="s">
        <v>91</v>
      </c>
      <c r="C29" s="3">
        <f t="shared" ref="C29:C36" si="9">SUM(D29:I29)</f>
        <v>8599654.4421323109</v>
      </c>
      <c r="D29" s="562">
        <v>138371.89772904638</v>
      </c>
      <c r="E29" s="562">
        <v>7202979.5251898784</v>
      </c>
      <c r="F29" s="562">
        <v>695630.38290299382</v>
      </c>
      <c r="G29" s="562">
        <v>69362.400920854154</v>
      </c>
      <c r="H29" s="562">
        <v>5727.4084628408609</v>
      </c>
      <c r="I29" s="562">
        <v>487582.82692669675</v>
      </c>
    </row>
    <row r="30" spans="1:9" ht="15" customHeight="1">
      <c r="A30" s="1">
        <f>MAX($A$4:A29)+1</f>
        <v>21</v>
      </c>
      <c r="B30" s="4" t="s">
        <v>92</v>
      </c>
      <c r="C30" s="5">
        <f t="shared" si="9"/>
        <v>0.99999999999999978</v>
      </c>
      <c r="D30" s="563">
        <f t="shared" ref="D30" si="10">D29/$C$29</f>
        <v>1.6090402080706934E-2</v>
      </c>
      <c r="E30" s="563">
        <f t="shared" ref="E30:I30" si="11">E29/$C$29</f>
        <v>0.83758941404672038</v>
      </c>
      <c r="F30" s="563">
        <f t="shared" si="11"/>
        <v>8.0890504099198443E-2</v>
      </c>
      <c r="G30" s="563">
        <f t="shared" si="11"/>
        <v>8.0657195457792749E-3</v>
      </c>
      <c r="H30" s="563">
        <f t="shared" si="11"/>
        <v>6.660044890618573E-4</v>
      </c>
      <c r="I30" s="563">
        <f t="shared" si="11"/>
        <v>5.6697955738533035E-2</v>
      </c>
    </row>
    <row r="31" spans="1:9" ht="15" customHeight="1">
      <c r="A31" s="1">
        <f>MAX($A$4:A30)+1</f>
        <v>22</v>
      </c>
      <c r="B31" s="2" t="s">
        <v>16</v>
      </c>
      <c r="C31" s="6">
        <f t="shared" si="9"/>
        <v>769002.03492000024</v>
      </c>
      <c r="D31" s="564">
        <v>12704.642356006541</v>
      </c>
      <c r="E31" s="564">
        <v>489798.2952483187</v>
      </c>
      <c r="F31" s="564">
        <v>62275.69872644938</v>
      </c>
      <c r="G31" s="564">
        <v>5964.6987540209202</v>
      </c>
      <c r="H31" s="564">
        <v>827.80103195732704</v>
      </c>
      <c r="I31" s="564">
        <v>197430.8988032472</v>
      </c>
    </row>
    <row r="32" spans="1:9" ht="15" customHeight="1">
      <c r="A32" s="1">
        <f>MAX($A$4:A31)+1</f>
        <v>23</v>
      </c>
      <c r="B32" s="2" t="s">
        <v>84</v>
      </c>
      <c r="C32" s="11">
        <f t="shared" si="9"/>
        <v>138189.92795704294</v>
      </c>
      <c r="D32" s="564">
        <v>88.171184531302217</v>
      </c>
      <c r="E32" s="564">
        <v>16177.105016530115</v>
      </c>
      <c r="F32" s="564">
        <v>2206.6311905129683</v>
      </c>
      <c r="G32" s="564">
        <v>40.143862762577172</v>
      </c>
      <c r="H32" s="564">
        <v>6.7324213082563791</v>
      </c>
      <c r="I32" s="564">
        <v>119671.1442813977</v>
      </c>
    </row>
    <row r="33" spans="1:9" ht="15" customHeight="1">
      <c r="A33" s="1">
        <f>MAX($A$4:A32)+1</f>
        <v>24</v>
      </c>
      <c r="B33" s="2" t="s">
        <v>17</v>
      </c>
      <c r="C33" s="11">
        <f t="shared" si="9"/>
        <v>476849.77927666664</v>
      </c>
      <c r="D33" s="564">
        <v>7399.2425043054336</v>
      </c>
      <c r="E33" s="564">
        <v>366129.23313829728</v>
      </c>
      <c r="F33" s="564">
        <v>40903.556702656228</v>
      </c>
      <c r="G33" s="564">
        <v>4722.4207242323691</v>
      </c>
      <c r="H33" s="564">
        <v>321.88547604545619</v>
      </c>
      <c r="I33" s="564">
        <v>57373.440731129856</v>
      </c>
    </row>
    <row r="34" spans="1:9" ht="15" customHeight="1">
      <c r="A34" s="1">
        <f>MAX($A$4:A33)+1</f>
        <v>25</v>
      </c>
      <c r="B34" s="2" t="s">
        <v>80</v>
      </c>
      <c r="C34" s="11">
        <f t="shared" si="9"/>
        <v>237846.54294849379</v>
      </c>
      <c r="D34" s="564">
        <v>3710.0806457044164</v>
      </c>
      <c r="E34" s="564">
        <v>200398.40638618273</v>
      </c>
      <c r="F34" s="564">
        <v>18651.460357077438</v>
      </c>
      <c r="G34" s="564">
        <v>1859.7714233851368</v>
      </c>
      <c r="H34" s="564">
        <v>153.56548285287434</v>
      </c>
      <c r="I34" s="564">
        <v>13073.258653291221</v>
      </c>
    </row>
    <row r="35" spans="1:9" ht="15" customHeight="1">
      <c r="A35" s="1">
        <f>MAX($A$4:A34)+1</f>
        <v>26</v>
      </c>
      <c r="B35" s="2" t="s">
        <v>78</v>
      </c>
      <c r="C35" s="7">
        <f t="shared" si="9"/>
        <v>217055.32122875086</v>
      </c>
      <c r="D35" s="564">
        <v>2727.728576822351</v>
      </c>
      <c r="E35" s="564">
        <v>189522.67113176966</v>
      </c>
      <c r="F35" s="564">
        <v>13712.942190185116</v>
      </c>
      <c r="G35" s="564">
        <v>1367.3426920783384</v>
      </c>
      <c r="H35" s="564">
        <v>112.90454197439048</v>
      </c>
      <c r="I35" s="564">
        <v>9611.7320959210265</v>
      </c>
    </row>
    <row r="36" spans="1:9" ht="15" customHeight="1">
      <c r="A36" s="1">
        <f>MAX($A$4:A35)+1</f>
        <v>27</v>
      </c>
      <c r="B36" s="484" t="s">
        <v>85</v>
      </c>
      <c r="C36" s="485">
        <f t="shared" si="9"/>
        <v>1838943.6063309542</v>
      </c>
      <c r="D36" s="485">
        <f>SUM(D31:D35)</f>
        <v>26629.865267370045</v>
      </c>
      <c r="E36" s="486">
        <f t="shared" ref="E36:I36" si="12">SUM(E31:E35)</f>
        <v>1262025.7109210985</v>
      </c>
      <c r="F36" s="485">
        <f t="shared" si="12"/>
        <v>137750.28916688112</v>
      </c>
      <c r="G36" s="485">
        <f t="shared" si="12"/>
        <v>13954.377456479342</v>
      </c>
      <c r="H36" s="485">
        <f t="shared" si="12"/>
        <v>1422.8889541383044</v>
      </c>
      <c r="I36" s="485">
        <f t="shared" si="12"/>
        <v>397160.47456498694</v>
      </c>
    </row>
    <row r="37" spans="1:9" ht="15" customHeight="1">
      <c r="A37" s="1"/>
      <c r="B37" s="8"/>
      <c r="C37" s="9"/>
      <c r="D37" s="9"/>
      <c r="E37" s="10"/>
      <c r="F37" s="9"/>
      <c r="G37" s="9"/>
      <c r="H37" s="9"/>
      <c r="I37" s="9"/>
    </row>
    <row r="38" spans="1:9" ht="15" customHeight="1">
      <c r="A38" s="1">
        <f>MAX($A$4:A37)+1</f>
        <v>28</v>
      </c>
      <c r="B38" s="12" t="s">
        <v>451</v>
      </c>
      <c r="C38" s="17"/>
      <c r="D38" s="17"/>
      <c r="E38" s="17"/>
      <c r="F38" s="17"/>
      <c r="G38" s="17"/>
      <c r="H38" s="17"/>
      <c r="I38" s="17"/>
    </row>
    <row r="39" spans="1:9" ht="15" customHeight="1">
      <c r="A39" s="1">
        <f>MAX($A$4:A38)+1</f>
        <v>29</v>
      </c>
      <c r="B39" s="2" t="s">
        <v>91</v>
      </c>
      <c r="C39" s="6">
        <f t="shared" ref="C39:C46" si="13">SUM(D39:I39)</f>
        <v>7942143.5921383686</v>
      </c>
      <c r="D39" s="6">
        <f>AVERAGE(D9,D19,D29)</f>
        <v>144458.47850073539</v>
      </c>
      <c r="E39" s="6">
        <f t="shared" ref="E39:G39" si="14">AVERAGE(E9,E19,E29)</f>
        <v>6626912.9640944665</v>
      </c>
      <c r="F39" s="6">
        <f>AVERAGE(F9,F19,F29)</f>
        <v>725210.89726036694</v>
      </c>
      <c r="G39" s="6">
        <f t="shared" si="14"/>
        <v>73675.217774270437</v>
      </c>
      <c r="H39" s="6">
        <f>AVERAGE(H9,H19,H29)</f>
        <v>5947.0822491705903</v>
      </c>
      <c r="I39" s="6">
        <f>AVERAGE(I9,I19,I29)</f>
        <v>365938.95225936035</v>
      </c>
    </row>
    <row r="40" spans="1:9" ht="15" customHeight="1">
      <c r="A40" s="1">
        <f>MAX($A$4:A39)+1</f>
        <v>30</v>
      </c>
      <c r="B40" s="4" t="s">
        <v>92</v>
      </c>
      <c r="C40" s="5">
        <f t="shared" si="13"/>
        <v>1.0000000000000002</v>
      </c>
      <c r="D40" s="296">
        <f>D39/$C$39</f>
        <v>1.8188852521343161E-2</v>
      </c>
      <c r="E40" s="296">
        <f t="shared" ref="E40:I40" si="15">E39/$C$39</f>
        <v>0.83439853324412316</v>
      </c>
      <c r="F40" s="296">
        <f>F39/$C$39</f>
        <v>9.1311733267858075E-2</v>
      </c>
      <c r="G40" s="296">
        <f>G39/$C$39</f>
        <v>9.2764902723741719E-3</v>
      </c>
      <c r="H40" s="296">
        <f>H39/$C$39</f>
        <v>7.4880064559112037E-4</v>
      </c>
      <c r="I40" s="296">
        <f t="shared" si="15"/>
        <v>4.607559004871048E-2</v>
      </c>
    </row>
    <row r="41" spans="1:9" ht="15" customHeight="1">
      <c r="A41" s="1">
        <f>MAX($A$4:A40)+1</f>
        <v>31</v>
      </c>
      <c r="B41" s="2" t="str">
        <f>B11</f>
        <v>Operations &amp; Maintenance</v>
      </c>
      <c r="C41" s="6">
        <f t="shared" si="13"/>
        <v>722310.22610333341</v>
      </c>
      <c r="D41" s="6">
        <f>AVERAGE(D11,D21,D31)</f>
        <v>11909.417875863563</v>
      </c>
      <c r="E41" s="6">
        <f t="shared" ref="E41:G41" si="16">AVERAGE(E11,E21,E31)</f>
        <v>459140.45136951719</v>
      </c>
      <c r="F41" s="6">
        <f t="shared" si="16"/>
        <v>58377.662185352434</v>
      </c>
      <c r="G41" s="6">
        <f t="shared" si="16"/>
        <v>5591.3490497977837</v>
      </c>
      <c r="H41" s="6">
        <f>AVERAGE(H11,H21,H31)</f>
        <v>775.98629944824063</v>
      </c>
      <c r="I41" s="6">
        <f>AVERAGE(I11,I21,I31)</f>
        <v>186515.35932335421</v>
      </c>
    </row>
    <row r="42" spans="1:9" ht="15" customHeight="1">
      <c r="A42" s="1">
        <f>MAX($A$4:A41)+1</f>
        <v>32</v>
      </c>
      <c r="B42" s="2" t="str">
        <f>B12</f>
        <v>Transmission Acquisition &amp; Ancillary Services</v>
      </c>
      <c r="C42" s="6">
        <f t="shared" si="13"/>
        <v>138189.92795704291</v>
      </c>
      <c r="D42" s="6">
        <f t="shared" ref="D42:I42" si="17">AVERAGE(D12,D22,D32)</f>
        <v>88.549344461812964</v>
      </c>
      <c r="E42" s="6">
        <f>AVERAGE(E12,E22,E32)</f>
        <v>16176.530411311918</v>
      </c>
      <c r="F42" s="6">
        <f>AVERAGE(F12,F22,F32)</f>
        <v>2208.5091439806797</v>
      </c>
      <c r="G42" s="6">
        <f>AVERAGE(G12,G22,G32)</f>
        <v>40.362080317370001</v>
      </c>
      <c r="H42" s="6">
        <f>AVERAGE(H12,H22,H32)</f>
        <v>6.7473411466230901</v>
      </c>
      <c r="I42" s="6">
        <f t="shared" si="17"/>
        <v>119669.22963582451</v>
      </c>
    </row>
    <row r="43" spans="1:9" ht="15" customHeight="1">
      <c r="A43" s="1">
        <f>MAX($A$4:A42)+1</f>
        <v>33</v>
      </c>
      <c r="B43" s="2" t="str">
        <f>B13</f>
        <v>Depreciation</v>
      </c>
      <c r="C43" s="6">
        <f t="shared" si="13"/>
        <v>451181.71355938882</v>
      </c>
      <c r="D43" s="6">
        <f>AVERAGE(D13,D23,D33)</f>
        <v>7293.6585556779964</v>
      </c>
      <c r="E43" s="6">
        <f t="shared" ref="E43:I43" si="18">AVERAGE(E13,E23,E33)</f>
        <v>341503.71641197387</v>
      </c>
      <c r="F43" s="6">
        <f t="shared" si="18"/>
        <v>40347.337948270811</v>
      </c>
      <c r="G43" s="6">
        <f t="shared" si="18"/>
        <v>4672.8501476529391</v>
      </c>
      <c r="H43" s="6">
        <f>AVERAGE(H13,H23,H33)</f>
        <v>315.0059040604487</v>
      </c>
      <c r="I43" s="6">
        <f t="shared" si="18"/>
        <v>57049.144591752789</v>
      </c>
    </row>
    <row r="44" spans="1:9" ht="15" customHeight="1">
      <c r="A44" s="1">
        <f>MAX($A$4:A43)+1</f>
        <v>34</v>
      </c>
      <c r="B44" s="2" t="str">
        <f>B14</f>
        <v>Net Interest Expense</v>
      </c>
      <c r="C44" s="6">
        <f t="shared" si="13"/>
        <v>198565.19693896954</v>
      </c>
      <c r="D44" s="6">
        <f>AVERAGE(D14,D24,D34)</f>
        <v>3433.1322150045112</v>
      </c>
      <c r="E44" s="6">
        <f t="shared" ref="E44:H44" si="19">AVERAGE(E14,E24,E34)</f>
        <v>167066.83311954411</v>
      </c>
      <c r="F44" s="6">
        <f>AVERAGE(F14,F24,F34)</f>
        <v>17236.624050213275</v>
      </c>
      <c r="G44" s="6">
        <f>AVERAGE(G14,G24,G34)</f>
        <v>1748.7707986785308</v>
      </c>
      <c r="H44" s="6">
        <f t="shared" si="19"/>
        <v>141.39077438571573</v>
      </c>
      <c r="I44" s="6">
        <f>AVERAGE(I14,I24,I34)</f>
        <v>8938.4459811433771</v>
      </c>
    </row>
    <row r="45" spans="1:9" ht="15" customHeight="1">
      <c r="A45" s="1">
        <f>MAX($A$4:A44)+1</f>
        <v>35</v>
      </c>
      <c r="B45" s="295" t="str">
        <f>B15</f>
        <v>Planned Net Revenues</v>
      </c>
      <c r="C45" s="7">
        <f t="shared" si="13"/>
        <v>169598.96527046897</v>
      </c>
      <c r="D45" s="7">
        <f t="shared" ref="D45:I45" si="20">AVERAGE(D15,D25,D35)</f>
        <v>2386.3941997738934</v>
      </c>
      <c r="E45" s="7">
        <f>AVERAGE(E15,E25,E35)</f>
        <v>147664.43587129432</v>
      </c>
      <c r="F45" s="7">
        <f t="shared" si="20"/>
        <v>11981.619447756626</v>
      </c>
      <c r="G45" s="7">
        <f t="shared" si="20"/>
        <v>1215.2565946317573</v>
      </c>
      <c r="H45" s="7">
        <f>AVERAGE(H15,H25,H35)</f>
        <v>98.29005552321091</v>
      </c>
      <c r="I45" s="7">
        <f t="shared" si="20"/>
        <v>6252.9691014891478</v>
      </c>
    </row>
    <row r="46" spans="1:9" ht="15" customHeight="1">
      <c r="A46" s="1">
        <f>MAX($A$4:A45)+1</f>
        <v>36</v>
      </c>
      <c r="B46" s="8" t="s">
        <v>85</v>
      </c>
      <c r="C46" s="9">
        <f t="shared" si="13"/>
        <v>1679846.0298292038</v>
      </c>
      <c r="D46" s="9">
        <f>SUM(D41:D45)</f>
        <v>25111.152190781781</v>
      </c>
      <c r="E46" s="9">
        <f>SUM(E41:E45)</f>
        <v>1131551.9671836414</v>
      </c>
      <c r="F46" s="9">
        <f>SUM(F41:F45)</f>
        <v>130151.75277557383</v>
      </c>
      <c r="G46" s="9">
        <f t="shared" ref="G46:H46" si="21">SUM(G41:G45)</f>
        <v>13268.58867107838</v>
      </c>
      <c r="H46" s="9">
        <f t="shared" si="21"/>
        <v>1337.420374564239</v>
      </c>
      <c r="I46" s="9">
        <f>SUM(I41:I45)</f>
        <v>378425.14863356407</v>
      </c>
    </row>
    <row r="47" spans="1:9" ht="15" customHeight="1">
      <c r="A47" s="1"/>
      <c r="B47" s="8"/>
      <c r="C47" s="9"/>
      <c r="D47" s="9"/>
      <c r="E47" s="10"/>
      <c r="F47" s="9"/>
      <c r="G47" s="9"/>
      <c r="H47" s="9"/>
      <c r="I47" s="9"/>
    </row>
    <row r="48" spans="1:9" s="72" customFormat="1" ht="15" customHeight="1">
      <c r="A48" s="70"/>
      <c r="B48" s="71" t="s">
        <v>211</v>
      </c>
      <c r="C48" s="70"/>
      <c r="D48" s="70"/>
      <c r="E48" s="70"/>
      <c r="F48" s="70"/>
      <c r="G48" s="70"/>
      <c r="H48" s="70"/>
      <c r="I48" s="70"/>
    </row>
    <row r="49" spans="1:9" s="72" customFormat="1">
      <c r="A49" s="73"/>
      <c r="B49" s="74"/>
      <c r="D49" s="75"/>
      <c r="E49" s="75"/>
      <c r="F49" s="75"/>
      <c r="G49" s="75"/>
      <c r="H49" s="75"/>
      <c r="I49" s="75"/>
    </row>
    <row r="50" spans="1:9" s="72" customFormat="1">
      <c r="A50" s="73"/>
      <c r="B50" s="74"/>
      <c r="C50" s="75"/>
      <c r="D50" s="75"/>
      <c r="E50" s="75"/>
      <c r="F50" s="75"/>
      <c r="G50" s="75"/>
      <c r="H50" s="76"/>
      <c r="I50" s="75"/>
    </row>
    <row r="51" spans="1:9" s="72" customFormat="1">
      <c r="A51" s="73"/>
      <c r="B51" s="74"/>
      <c r="C51" s="75"/>
      <c r="D51" s="75"/>
      <c r="E51" s="75"/>
      <c r="F51" s="75"/>
      <c r="G51" s="75"/>
      <c r="H51" s="75"/>
      <c r="I51" s="74"/>
    </row>
    <row r="52" spans="1:9" s="72" customFormat="1">
      <c r="A52" s="73"/>
      <c r="B52" s="74"/>
      <c r="C52" s="75"/>
      <c r="D52" s="75"/>
      <c r="E52" s="75"/>
      <c r="F52" s="75"/>
      <c r="G52" s="75"/>
      <c r="H52" s="75"/>
      <c r="I52" s="74"/>
    </row>
    <row r="53" spans="1:9" s="72" customFormat="1">
      <c r="A53" s="73"/>
      <c r="B53" s="74"/>
      <c r="C53" s="75"/>
      <c r="D53" s="75"/>
      <c r="E53" s="75"/>
      <c r="F53" s="75"/>
      <c r="G53" s="75"/>
      <c r="H53" s="75"/>
      <c r="I53" s="74"/>
    </row>
    <row r="54" spans="1:9" s="72" customFormat="1">
      <c r="A54" s="73"/>
      <c r="B54" s="74"/>
      <c r="C54" s="75"/>
      <c r="D54" s="75"/>
      <c r="E54" s="75"/>
      <c r="F54" s="75"/>
      <c r="G54" s="75"/>
      <c r="H54" s="75"/>
      <c r="I54" s="74"/>
    </row>
    <row r="55" spans="1:9" s="72" customFormat="1">
      <c r="A55" s="73"/>
      <c r="B55" s="74"/>
      <c r="C55" s="75"/>
      <c r="D55" s="75"/>
      <c r="E55" s="75"/>
      <c r="F55" s="75"/>
      <c r="G55" s="75"/>
      <c r="H55" s="75"/>
      <c r="I55" s="74"/>
    </row>
    <row r="56" spans="1:9" s="72" customFormat="1">
      <c r="A56" s="73"/>
      <c r="B56" s="74"/>
      <c r="C56" s="75"/>
      <c r="D56" s="75"/>
      <c r="E56" s="75"/>
      <c r="F56" s="75"/>
      <c r="G56" s="75"/>
      <c r="H56" s="75"/>
      <c r="I56" s="74"/>
    </row>
    <row r="57" spans="1:9" s="72" customFormat="1">
      <c r="A57" s="73"/>
      <c r="B57" s="74"/>
      <c r="C57" s="75"/>
      <c r="D57" s="75"/>
      <c r="E57" s="75"/>
      <c r="F57" s="75"/>
      <c r="G57" s="75"/>
      <c r="H57" s="75"/>
      <c r="I57" s="74"/>
    </row>
    <row r="58" spans="1:9" s="72" customFormat="1">
      <c r="A58" s="73"/>
      <c r="B58" s="74"/>
      <c r="C58" s="75"/>
      <c r="D58" s="75"/>
      <c r="E58" s="75"/>
      <c r="F58" s="75"/>
      <c r="G58" s="75"/>
      <c r="H58" s="75"/>
      <c r="I58" s="74"/>
    </row>
    <row r="59" spans="1:9" s="72" customFormat="1">
      <c r="A59" s="73"/>
      <c r="B59" s="74"/>
      <c r="C59" s="75"/>
      <c r="D59" s="75"/>
      <c r="E59" s="75"/>
      <c r="F59" s="75"/>
      <c r="G59" s="75"/>
      <c r="H59" s="75"/>
      <c r="I59" s="74"/>
    </row>
    <row r="60" spans="1:9" s="72" customFormat="1">
      <c r="A60" s="73"/>
      <c r="B60" s="74"/>
      <c r="C60" s="75"/>
      <c r="D60" s="75"/>
      <c r="E60" s="75"/>
      <c r="F60" s="75"/>
      <c r="G60" s="75"/>
      <c r="H60" s="75"/>
      <c r="I60" s="74"/>
    </row>
    <row r="61" spans="1:9" s="72" customFormat="1">
      <c r="A61" s="73"/>
      <c r="B61" s="74"/>
      <c r="C61" s="75"/>
      <c r="D61" s="75"/>
      <c r="E61" s="75"/>
      <c r="F61" s="75"/>
      <c r="G61" s="75"/>
      <c r="H61" s="75"/>
      <c r="I61" s="74"/>
    </row>
    <row r="62" spans="1:9" s="72" customFormat="1">
      <c r="A62" s="73"/>
      <c r="B62" s="74"/>
      <c r="C62" s="75"/>
      <c r="D62" s="75"/>
      <c r="E62" s="75"/>
      <c r="F62" s="75"/>
      <c r="G62" s="75"/>
      <c r="H62" s="75"/>
      <c r="I62" s="74"/>
    </row>
    <row r="63" spans="1:9" s="72" customFormat="1">
      <c r="A63" s="73"/>
      <c r="B63" s="74"/>
      <c r="C63" s="75"/>
      <c r="D63" s="75"/>
      <c r="E63" s="75"/>
      <c r="F63" s="75"/>
      <c r="G63" s="75"/>
      <c r="H63" s="75"/>
      <c r="I63" s="74"/>
    </row>
    <row r="64" spans="1:9" s="72" customFormat="1">
      <c r="A64" s="73"/>
      <c r="B64" s="74"/>
      <c r="C64" s="75"/>
      <c r="D64" s="75"/>
      <c r="E64" s="75"/>
      <c r="F64" s="75"/>
      <c r="G64" s="75"/>
      <c r="H64" s="75"/>
      <c r="I64" s="74"/>
    </row>
    <row r="65" spans="9:9">
      <c r="I65" s="74"/>
    </row>
    <row r="66" spans="9:9">
      <c r="I66" s="74"/>
    </row>
    <row r="67" spans="9:9">
      <c r="I67" s="74"/>
    </row>
  </sheetData>
  <mergeCells count="3">
    <mergeCell ref="A1:I1"/>
    <mergeCell ref="A2:I2"/>
    <mergeCell ref="A3:I3"/>
  </mergeCells>
  <printOptions horizontalCentered="1"/>
  <pageMargins left="0.25" right="0.25" top="0.75" bottom="0.75" header="0.3" footer="0.3"/>
  <pageSetup scale="59" fitToHeight="0" orientation="landscape" blackAndWhite="1" horizontalDpi="300" verticalDpi="300" r:id="rId1"/>
  <headerFooter alignWithMargins="0"/>
  <ignoredErrors>
    <ignoredError sqref="E40:F40 I40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6">
    <tabColor theme="3" tint="0.79998168889431442"/>
  </sheetPr>
  <dimension ref="A1:M180"/>
  <sheetViews>
    <sheetView zoomScaleNormal="100" workbookViewId="0">
      <selection sqref="A1:J1"/>
    </sheetView>
  </sheetViews>
  <sheetFormatPr defaultColWidth="8" defaultRowHeight="14.25" outlineLevelRow="1"/>
  <cols>
    <col min="1" max="1" width="4.28515625" style="58" customWidth="1"/>
    <col min="2" max="2" width="43.7109375" style="51" customWidth="1"/>
    <col min="3" max="6" width="14.85546875" style="51" customWidth="1"/>
    <col min="7" max="11" width="14.85546875" style="21" customWidth="1"/>
    <col min="12" max="12" width="11" style="21" bestFit="1" customWidth="1"/>
    <col min="13" max="16384" width="8" style="21"/>
  </cols>
  <sheetData>
    <row r="1" spans="1:12" s="22" customFormat="1" ht="19.5" customHeight="1">
      <c r="A1" s="537" t="s">
        <v>135</v>
      </c>
      <c r="B1" s="537"/>
      <c r="C1" s="537"/>
      <c r="D1" s="537"/>
      <c r="E1" s="537"/>
      <c r="F1" s="537"/>
      <c r="G1" s="537"/>
      <c r="H1" s="537"/>
      <c r="I1" s="537"/>
      <c r="J1" s="537"/>
    </row>
    <row r="2" spans="1:12" s="22" customFormat="1" ht="19.5" customHeight="1">
      <c r="A2" s="537" t="s">
        <v>100</v>
      </c>
      <c r="B2" s="537"/>
      <c r="C2" s="537"/>
      <c r="D2" s="537"/>
      <c r="E2" s="537"/>
      <c r="F2" s="537"/>
      <c r="G2" s="537"/>
      <c r="H2" s="537"/>
      <c r="I2" s="537"/>
      <c r="J2" s="537"/>
    </row>
    <row r="3" spans="1:12" s="23" customFormat="1" ht="19.5" customHeight="1">
      <c r="A3" s="535" t="s">
        <v>139</v>
      </c>
      <c r="B3" s="535"/>
      <c r="C3" s="535"/>
      <c r="D3" s="535"/>
      <c r="E3" s="535"/>
      <c r="F3" s="535"/>
      <c r="G3" s="535"/>
      <c r="H3" s="535"/>
      <c r="I3" s="535"/>
      <c r="J3" s="535"/>
      <c r="K3" s="22"/>
    </row>
    <row r="4" spans="1:12" s="26" customFormat="1" ht="15" customHeight="1">
      <c r="A4" s="24"/>
      <c r="B4" s="25" t="s">
        <v>0</v>
      </c>
      <c r="C4" s="25" t="s">
        <v>1</v>
      </c>
      <c r="D4" s="145" t="s">
        <v>2</v>
      </c>
      <c r="E4" s="145" t="s">
        <v>3</v>
      </c>
      <c r="F4" s="145" t="s">
        <v>4</v>
      </c>
      <c r="G4" s="145" t="s">
        <v>5</v>
      </c>
      <c r="H4" s="145" t="s">
        <v>6</v>
      </c>
      <c r="I4" s="145"/>
      <c r="J4" s="145"/>
      <c r="K4" s="22"/>
      <c r="L4" s="23"/>
    </row>
    <row r="5" spans="1:12" s="26" customFormat="1" ht="30" customHeight="1">
      <c r="A5" s="27"/>
      <c r="B5" s="20" t="s">
        <v>18</v>
      </c>
      <c r="C5" s="19" t="s">
        <v>452</v>
      </c>
      <c r="D5" s="19" t="s">
        <v>448</v>
      </c>
      <c r="E5" s="19" t="s">
        <v>449</v>
      </c>
      <c r="F5" s="19" t="s">
        <v>450</v>
      </c>
      <c r="G5" s="505" t="s">
        <v>451</v>
      </c>
      <c r="H5" s="20" t="s">
        <v>29</v>
      </c>
      <c r="I5" s="28"/>
      <c r="J5" s="24" t="s">
        <v>8</v>
      </c>
      <c r="K5" s="22"/>
      <c r="L5" s="23"/>
    </row>
    <row r="6" spans="1:12" s="26" customFormat="1" ht="15" customHeight="1">
      <c r="A6" s="29">
        <f>MAX($A$5:A5)+1</f>
        <v>1</v>
      </c>
      <c r="B6" s="30" t="s">
        <v>247</v>
      </c>
      <c r="C6" s="235">
        <v>76.572000000000003</v>
      </c>
      <c r="D6" s="235">
        <v>76.572000000000003</v>
      </c>
      <c r="E6" s="235">
        <v>76.572000000000003</v>
      </c>
      <c r="F6" s="235">
        <v>76.572000000000003</v>
      </c>
      <c r="G6" s="235">
        <f t="shared" ref="G6:G29" si="0">AVERAGE(D6:F6)</f>
        <v>76.572000000000003</v>
      </c>
      <c r="H6" s="35">
        <f t="shared" ref="H6:H28" si="1">IF(C6=0,"N/A",(G6-C6)/C6)</f>
        <v>0</v>
      </c>
      <c r="I6" s="37"/>
      <c r="J6" s="24"/>
      <c r="K6" s="22"/>
      <c r="L6" s="23"/>
    </row>
    <row r="7" spans="1:12" s="26" customFormat="1" ht="15" customHeight="1">
      <c r="A7" s="29">
        <f>MAX($A$5:A6)+1</f>
        <v>2</v>
      </c>
      <c r="B7" s="30" t="s">
        <v>241</v>
      </c>
      <c r="C7" s="235">
        <v>3493.3388399999999</v>
      </c>
      <c r="D7" s="235">
        <v>3493.3388399999999</v>
      </c>
      <c r="E7" s="235">
        <v>3493.3388399999999</v>
      </c>
      <c r="F7" s="235">
        <v>3493.3388399999999</v>
      </c>
      <c r="G7" s="235">
        <f t="shared" si="0"/>
        <v>3493.3388399999999</v>
      </c>
      <c r="H7" s="35">
        <f t="shared" si="1"/>
        <v>0</v>
      </c>
      <c r="I7" s="37"/>
      <c r="J7" s="31"/>
      <c r="K7" s="22"/>
      <c r="L7" s="23"/>
    </row>
    <row r="8" spans="1:12" s="26" customFormat="1" ht="15" customHeight="1">
      <c r="A8" s="29">
        <f>MAX($A$5:A7)+1</f>
        <v>3</v>
      </c>
      <c r="B8" s="30" t="s">
        <v>245</v>
      </c>
      <c r="C8" s="235">
        <v>172.00800000000001</v>
      </c>
      <c r="D8" s="235">
        <v>172.00800000000001</v>
      </c>
      <c r="E8" s="235">
        <v>172.00800000000001</v>
      </c>
      <c r="F8" s="235">
        <v>172.00800000000001</v>
      </c>
      <c r="G8" s="235">
        <f t="shared" si="0"/>
        <v>172.00800000000001</v>
      </c>
      <c r="H8" s="35">
        <f t="shared" si="1"/>
        <v>0</v>
      </c>
      <c r="I8" s="37"/>
      <c r="J8" s="24"/>
      <c r="K8" s="22"/>
      <c r="L8" s="23"/>
    </row>
    <row r="9" spans="1:12" s="26" customFormat="1" ht="15" customHeight="1">
      <c r="A9" s="29">
        <f>MAX($A$5:A8)+1</f>
        <v>4</v>
      </c>
      <c r="B9" s="30" t="s">
        <v>234</v>
      </c>
      <c r="C9" s="235">
        <v>2030.1</v>
      </c>
      <c r="D9" s="235">
        <v>2030.1</v>
      </c>
      <c r="E9" s="235">
        <v>384.20400000000001</v>
      </c>
      <c r="F9" s="235">
        <v>384.20400000000001</v>
      </c>
      <c r="G9" s="235">
        <f t="shared" si="0"/>
        <v>932.83600000000013</v>
      </c>
      <c r="H9" s="35">
        <f t="shared" si="1"/>
        <v>-0.54049751243781086</v>
      </c>
      <c r="I9" s="37"/>
      <c r="J9" s="24"/>
      <c r="K9" s="22"/>
      <c r="L9" s="23"/>
    </row>
    <row r="10" spans="1:12" s="26" customFormat="1" ht="15" customHeight="1">
      <c r="A10" s="29">
        <f>MAX($A$5:A9)+1</f>
        <v>5</v>
      </c>
      <c r="B10" s="30" t="s">
        <v>236</v>
      </c>
      <c r="C10" s="235">
        <v>7792.9890800000003</v>
      </c>
      <c r="D10" s="235">
        <v>5694.8895499999999</v>
      </c>
      <c r="E10" s="235">
        <v>5075.2510400000001</v>
      </c>
      <c r="F10" s="235">
        <v>4963.3280400000003</v>
      </c>
      <c r="G10" s="235">
        <f t="shared" si="0"/>
        <v>5244.4895433333331</v>
      </c>
      <c r="H10" s="35">
        <f t="shared" si="1"/>
        <v>-0.32702465132501729</v>
      </c>
      <c r="I10" s="37"/>
      <c r="J10" s="24"/>
      <c r="K10" s="22"/>
      <c r="L10" s="23"/>
    </row>
    <row r="11" spans="1:12" s="26" customFormat="1" ht="15" customHeight="1">
      <c r="A11" s="29">
        <f>MAX($A$5:A10)+1</f>
        <v>6</v>
      </c>
      <c r="B11" s="30" t="s">
        <v>235</v>
      </c>
      <c r="C11" s="235">
        <v>1204.1193999999998</v>
      </c>
      <c r="D11" s="235">
        <v>907.89818000000002</v>
      </c>
      <c r="E11" s="235">
        <v>812.57443999999998</v>
      </c>
      <c r="F11" s="235">
        <v>801.49924999999996</v>
      </c>
      <c r="G11" s="235">
        <f t="shared" si="0"/>
        <v>840.65728999999999</v>
      </c>
      <c r="H11" s="35">
        <f t="shared" si="1"/>
        <v>-0.30184889471924453</v>
      </c>
      <c r="I11" s="37"/>
      <c r="J11" s="24"/>
      <c r="K11" s="22"/>
      <c r="L11" s="23"/>
    </row>
    <row r="12" spans="1:12" s="26" customFormat="1" ht="15" customHeight="1">
      <c r="A12" s="29">
        <f>MAX($A$5:A11)+1</f>
        <v>7</v>
      </c>
      <c r="B12" s="30" t="s">
        <v>237</v>
      </c>
      <c r="C12" s="235">
        <v>88.123000000000005</v>
      </c>
      <c r="D12" s="235">
        <v>88.123000000000005</v>
      </c>
      <c r="E12" s="235">
        <v>88.123000000000005</v>
      </c>
      <c r="F12" s="235">
        <v>88.123000000000005</v>
      </c>
      <c r="G12" s="235">
        <f t="shared" si="0"/>
        <v>88.123000000000005</v>
      </c>
      <c r="H12" s="35">
        <f t="shared" si="1"/>
        <v>0</v>
      </c>
      <c r="I12" s="37"/>
      <c r="J12" s="24" t="s">
        <v>8</v>
      </c>
      <c r="K12" s="22"/>
      <c r="L12" s="23"/>
    </row>
    <row r="13" spans="1:12" s="26" customFormat="1" ht="15" customHeight="1">
      <c r="A13" s="29">
        <f>MAX($A$5:A12)+1</f>
        <v>8</v>
      </c>
      <c r="B13" s="30" t="s">
        <v>244</v>
      </c>
      <c r="C13" s="235">
        <v>83.978999999999999</v>
      </c>
      <c r="D13" s="235">
        <v>83.978999999999999</v>
      </c>
      <c r="E13" s="235">
        <v>83.978999999999999</v>
      </c>
      <c r="F13" s="235">
        <v>83.978999999999999</v>
      </c>
      <c r="G13" s="235">
        <f t="shared" si="0"/>
        <v>83.978999999999999</v>
      </c>
      <c r="H13" s="35">
        <f t="shared" si="1"/>
        <v>0</v>
      </c>
      <c r="I13" s="37"/>
      <c r="J13" s="24"/>
      <c r="K13" s="22"/>
      <c r="L13" s="23"/>
    </row>
    <row r="14" spans="1:12" s="26" customFormat="1" ht="15" customHeight="1">
      <c r="A14" s="29">
        <f>MAX($A$5:A13)+1</f>
        <v>9</v>
      </c>
      <c r="B14" s="30" t="s">
        <v>239</v>
      </c>
      <c r="C14" s="235">
        <v>1212.912</v>
      </c>
      <c r="D14" s="235">
        <v>1212.912</v>
      </c>
      <c r="E14" s="235">
        <v>1212.912</v>
      </c>
      <c r="F14" s="235">
        <v>1212.912</v>
      </c>
      <c r="G14" s="235">
        <f t="shared" si="0"/>
        <v>1212.912</v>
      </c>
      <c r="H14" s="35">
        <f t="shared" si="1"/>
        <v>0</v>
      </c>
      <c r="I14" s="37"/>
      <c r="J14" s="24"/>
      <c r="K14" s="22"/>
      <c r="L14" s="23"/>
    </row>
    <row r="15" spans="1:12" s="26" customFormat="1" ht="15" customHeight="1">
      <c r="A15" s="29">
        <f>MAX($A$5:A14)+1</f>
        <v>10</v>
      </c>
      <c r="B15" s="30" t="s">
        <v>242</v>
      </c>
      <c r="C15" s="235">
        <v>220.97200000000001</v>
      </c>
      <c r="D15" s="235">
        <v>220.97200000000001</v>
      </c>
      <c r="E15" s="235">
        <v>220.97200000000001</v>
      </c>
      <c r="F15" s="235">
        <v>220.97200000000001</v>
      </c>
      <c r="G15" s="235">
        <f t="shared" si="0"/>
        <v>220.97200000000001</v>
      </c>
      <c r="H15" s="35">
        <f t="shared" si="1"/>
        <v>0</v>
      </c>
      <c r="I15" s="37"/>
      <c r="J15" s="24"/>
      <c r="K15" s="22"/>
      <c r="L15" s="23"/>
    </row>
    <row r="16" spans="1:12" s="26" customFormat="1" ht="15" customHeight="1">
      <c r="A16" s="29">
        <f>MAX($A$5:A15)+1</f>
        <v>11</v>
      </c>
      <c r="B16" s="30" t="s">
        <v>243</v>
      </c>
      <c r="C16" s="235">
        <v>417.108</v>
      </c>
      <c r="D16" s="235">
        <v>417.108</v>
      </c>
      <c r="E16" s="235">
        <v>417.108</v>
      </c>
      <c r="F16" s="235">
        <v>417.108</v>
      </c>
      <c r="G16" s="235">
        <f t="shared" si="0"/>
        <v>417.108</v>
      </c>
      <c r="H16" s="35">
        <f t="shared" si="1"/>
        <v>0</v>
      </c>
      <c r="I16" s="37"/>
      <c r="J16" s="24"/>
      <c r="K16" s="22"/>
      <c r="L16" s="23"/>
    </row>
    <row r="17" spans="1:13" s="26" customFormat="1" ht="15" customHeight="1">
      <c r="A17" s="29">
        <f>MAX($A$5:A16)+1</f>
        <v>12</v>
      </c>
      <c r="B17" s="30" t="s">
        <v>253</v>
      </c>
      <c r="C17" s="235">
        <v>2400</v>
      </c>
      <c r="D17" s="235">
        <v>2400</v>
      </c>
      <c r="E17" s="235">
        <v>2400</v>
      </c>
      <c r="F17" s="235">
        <v>2400</v>
      </c>
      <c r="G17" s="235">
        <f t="shared" si="0"/>
        <v>2400</v>
      </c>
      <c r="H17" s="35">
        <f t="shared" si="1"/>
        <v>0</v>
      </c>
      <c r="I17" s="37"/>
      <c r="J17" s="24"/>
      <c r="K17" s="22"/>
      <c r="L17" s="23"/>
      <c r="M17" s="26" t="s">
        <v>447</v>
      </c>
    </row>
    <row r="18" spans="1:13" s="26" customFormat="1" ht="15" customHeight="1">
      <c r="A18" s="29">
        <f>MAX($A$5:A17)+1</f>
        <v>13</v>
      </c>
      <c r="B18" s="30" t="s">
        <v>254</v>
      </c>
      <c r="C18" s="235">
        <v>780</v>
      </c>
      <c r="D18" s="235">
        <v>780</v>
      </c>
      <c r="E18" s="235">
        <v>780</v>
      </c>
      <c r="F18" s="235">
        <v>780</v>
      </c>
      <c r="G18" s="235">
        <f t="shared" si="0"/>
        <v>780</v>
      </c>
      <c r="H18" s="35">
        <f t="shared" si="1"/>
        <v>0</v>
      </c>
      <c r="I18" s="37"/>
      <c r="J18" s="24"/>
      <c r="K18" s="22"/>
      <c r="L18" s="23"/>
    </row>
    <row r="19" spans="1:13" s="32" customFormat="1" ht="15" customHeight="1">
      <c r="A19" s="29">
        <f>MAX($A$5:A18)+1</f>
        <v>14</v>
      </c>
      <c r="B19" s="30" t="s">
        <v>252</v>
      </c>
      <c r="C19" s="235">
        <v>6752.7</v>
      </c>
      <c r="D19" s="235">
        <v>6752.7</v>
      </c>
      <c r="E19" s="235">
        <v>6752.7</v>
      </c>
      <c r="F19" s="235">
        <v>6752.7</v>
      </c>
      <c r="G19" s="235">
        <f t="shared" si="0"/>
        <v>6752.7</v>
      </c>
      <c r="H19" s="35">
        <f t="shared" si="1"/>
        <v>0</v>
      </c>
      <c r="I19" s="37"/>
      <c r="J19" s="24"/>
      <c r="K19" s="22"/>
      <c r="L19" s="23"/>
    </row>
    <row r="20" spans="1:13" s="32" customFormat="1" ht="15" customHeight="1">
      <c r="A20" s="29">
        <f>MAX($A$5:A19)+1</f>
        <v>15</v>
      </c>
      <c r="B20" s="30" t="s">
        <v>248</v>
      </c>
      <c r="C20" s="235">
        <v>4718.2240000000002</v>
      </c>
      <c r="D20" s="235">
        <v>3724.48</v>
      </c>
      <c r="E20" s="235">
        <v>2208.3200000000002</v>
      </c>
      <c r="F20" s="235">
        <v>2208.3200000000002</v>
      </c>
      <c r="G20" s="235">
        <f t="shared" si="0"/>
        <v>2713.7066666666669</v>
      </c>
      <c r="H20" s="35">
        <f t="shared" si="1"/>
        <v>-0.42484573291419253</v>
      </c>
      <c r="I20" s="37"/>
      <c r="J20" s="24"/>
      <c r="K20" s="22"/>
      <c r="L20" s="23"/>
    </row>
    <row r="21" spans="1:13" s="32" customFormat="1" ht="15" customHeight="1">
      <c r="A21" s="29">
        <f>MAX($A$5:A20)+1</f>
        <v>16</v>
      </c>
      <c r="B21" s="30" t="s">
        <v>238</v>
      </c>
      <c r="C21" s="235">
        <v>79.2</v>
      </c>
      <c r="D21" s="235">
        <v>79.2</v>
      </c>
      <c r="E21" s="235">
        <v>79.2</v>
      </c>
      <c r="F21" s="235">
        <v>79.2</v>
      </c>
      <c r="G21" s="235">
        <f t="shared" si="0"/>
        <v>79.2</v>
      </c>
      <c r="H21" s="35">
        <f t="shared" si="1"/>
        <v>0</v>
      </c>
      <c r="I21" s="37"/>
      <c r="J21" s="24"/>
      <c r="K21" s="22"/>
      <c r="L21" s="23"/>
    </row>
    <row r="22" spans="1:13" s="32" customFormat="1" ht="15" customHeight="1">
      <c r="A22" s="29">
        <f>MAX($A$5:A21)+1</f>
        <v>17</v>
      </c>
      <c r="B22" s="30" t="s">
        <v>233</v>
      </c>
      <c r="C22" s="235">
        <v>2209.8000000000002</v>
      </c>
      <c r="D22" s="235">
        <v>2209.8000000000002</v>
      </c>
      <c r="E22" s="235">
        <v>2209.8000000000002</v>
      </c>
      <c r="F22" s="235">
        <v>2209.8000000000002</v>
      </c>
      <c r="G22" s="235">
        <f t="shared" si="0"/>
        <v>2209.8000000000002</v>
      </c>
      <c r="H22" s="35">
        <f t="shared" si="1"/>
        <v>0</v>
      </c>
      <c r="I22" s="37"/>
      <c r="J22" s="24"/>
      <c r="K22" s="22"/>
      <c r="L22" s="23"/>
    </row>
    <row r="23" spans="1:13" s="32" customFormat="1" ht="15" customHeight="1">
      <c r="A23" s="29">
        <f>MAX($A$5:A22)+1</f>
        <v>18</v>
      </c>
      <c r="B23" s="30" t="s">
        <v>246</v>
      </c>
      <c r="C23" s="235">
        <v>900</v>
      </c>
      <c r="D23" s="235">
        <v>900</v>
      </c>
      <c r="E23" s="235">
        <v>900</v>
      </c>
      <c r="F23" s="235">
        <v>900</v>
      </c>
      <c r="G23" s="235">
        <f t="shared" si="0"/>
        <v>900</v>
      </c>
      <c r="H23" s="35">
        <f t="shared" si="1"/>
        <v>0</v>
      </c>
      <c r="I23" s="37"/>
      <c r="J23" s="24"/>
      <c r="K23" s="22"/>
      <c r="L23" s="23"/>
    </row>
    <row r="24" spans="1:13" s="32" customFormat="1" ht="15" customHeight="1">
      <c r="A24" s="29">
        <f>MAX($A$5:A23)+1</f>
        <v>19</v>
      </c>
      <c r="B24" s="30" t="s">
        <v>438</v>
      </c>
      <c r="C24" s="235">
        <v>269.35752000000002</v>
      </c>
      <c r="D24" s="235">
        <v>269.35752000000002</v>
      </c>
      <c r="E24" s="235">
        <v>269.35752000000002</v>
      </c>
      <c r="F24" s="235">
        <v>269.35752000000002</v>
      </c>
      <c r="G24" s="235">
        <f t="shared" si="0"/>
        <v>269.35752000000002</v>
      </c>
      <c r="H24" s="35">
        <f t="shared" si="1"/>
        <v>0</v>
      </c>
      <c r="I24" s="37"/>
      <c r="J24" s="24"/>
      <c r="K24" s="22"/>
      <c r="L24" s="23"/>
    </row>
    <row r="25" spans="1:13" s="32" customFormat="1" ht="15" customHeight="1">
      <c r="A25" s="29">
        <f>MAX($A$5:A24)+1</f>
        <v>20</v>
      </c>
      <c r="B25" s="30" t="s">
        <v>240</v>
      </c>
      <c r="C25" s="235">
        <v>39.6</v>
      </c>
      <c r="D25" s="235">
        <v>39.6</v>
      </c>
      <c r="E25" s="235">
        <v>39.6</v>
      </c>
      <c r="F25" s="235">
        <v>39.6</v>
      </c>
      <c r="G25" s="235">
        <f t="shared" si="0"/>
        <v>39.6</v>
      </c>
      <c r="H25" s="35">
        <f t="shared" si="1"/>
        <v>0</v>
      </c>
      <c r="I25" s="37"/>
      <c r="J25" s="24"/>
      <c r="K25" s="22"/>
      <c r="L25" s="23"/>
    </row>
    <row r="26" spans="1:13" s="32" customFormat="1" ht="15" customHeight="1">
      <c r="A26" s="29">
        <f>MAX($A$5:A25)+1</f>
        <v>21</v>
      </c>
      <c r="B26" s="30" t="s">
        <v>249</v>
      </c>
      <c r="C26" s="235">
        <v>245.697</v>
      </c>
      <c r="D26" s="235">
        <v>245.697</v>
      </c>
      <c r="E26" s="235">
        <v>245.697</v>
      </c>
      <c r="F26" s="235">
        <v>245.697</v>
      </c>
      <c r="G26" s="235">
        <f t="shared" si="0"/>
        <v>245.697</v>
      </c>
      <c r="H26" s="35">
        <f t="shared" si="1"/>
        <v>0</v>
      </c>
      <c r="I26" s="37"/>
      <c r="J26" s="24"/>
      <c r="K26" s="22"/>
      <c r="L26" s="23"/>
    </row>
    <row r="27" spans="1:13" s="32" customFormat="1" ht="15" customHeight="1">
      <c r="A27" s="29">
        <f>MAX($A$5:A26)+1</f>
        <v>22</v>
      </c>
      <c r="B27" s="30" t="s">
        <v>250</v>
      </c>
      <c r="C27" s="235">
        <v>3405.12</v>
      </c>
      <c r="D27" s="235">
        <v>3429.5880000000002</v>
      </c>
      <c r="E27" s="235">
        <v>3429.5880000000002</v>
      </c>
      <c r="F27" s="235">
        <v>3429.5880000000002</v>
      </c>
      <c r="G27" s="235">
        <f t="shared" si="0"/>
        <v>3429.5880000000002</v>
      </c>
      <c r="H27" s="35">
        <f t="shared" si="1"/>
        <v>7.185649844939474E-3</v>
      </c>
      <c r="I27" s="37"/>
      <c r="J27" s="24"/>
      <c r="K27" s="22"/>
      <c r="L27" s="23"/>
    </row>
    <row r="28" spans="1:13" s="32" customFormat="1" ht="15" customHeight="1">
      <c r="A28" s="29">
        <f>MAX($A$5:A27)+1</f>
        <v>23</v>
      </c>
      <c r="B28" s="30" t="s">
        <v>251</v>
      </c>
      <c r="C28" s="235">
        <v>242.916</v>
      </c>
      <c r="D28" s="235">
        <v>242.916</v>
      </c>
      <c r="E28" s="235">
        <v>242.916</v>
      </c>
      <c r="F28" s="235">
        <v>242.916</v>
      </c>
      <c r="G28" s="235">
        <f t="shared" si="0"/>
        <v>242.91600000000003</v>
      </c>
      <c r="H28" s="35">
        <f t="shared" si="1"/>
        <v>1.1700221241253771E-16</v>
      </c>
      <c r="I28" s="37"/>
      <c r="J28" s="24"/>
      <c r="K28" s="22"/>
      <c r="L28" s="23"/>
    </row>
    <row r="29" spans="1:13" s="32" customFormat="1" ht="15" customHeight="1">
      <c r="A29" s="29">
        <f>MAX($A$5:A28)+1</f>
        <v>24</v>
      </c>
      <c r="B29" s="487" t="s">
        <v>12</v>
      </c>
      <c r="C29" s="488">
        <f>SUM(C6:C28)</f>
        <v>38834.835839999992</v>
      </c>
      <c r="D29" s="488">
        <f>SUM(D6:D28)</f>
        <v>35471.239089999995</v>
      </c>
      <c r="E29" s="488">
        <f>SUM(E6:E28)</f>
        <v>31594.220839999998</v>
      </c>
      <c r="F29" s="488">
        <f>SUM(F6:F28)</f>
        <v>31471.22265</v>
      </c>
      <c r="G29" s="506">
        <f t="shared" si="0"/>
        <v>32845.560859999998</v>
      </c>
      <c r="H29" s="489">
        <f>(G29-C29)/C29</f>
        <v>-0.15422428987921777</v>
      </c>
      <c r="I29" s="24"/>
      <c r="J29" s="24"/>
      <c r="K29" s="22"/>
      <c r="L29" s="23"/>
    </row>
    <row r="30" spans="1:13" s="32" customFormat="1" ht="15" customHeight="1">
      <c r="A30" s="29"/>
      <c r="B30" s="33"/>
      <c r="C30" s="34"/>
      <c r="D30" s="34"/>
      <c r="E30" s="34"/>
      <c r="F30" s="34"/>
      <c r="G30" s="35"/>
      <c r="H30" s="24"/>
      <c r="I30" s="24"/>
      <c r="J30" s="24"/>
      <c r="K30" s="22"/>
      <c r="L30" s="23"/>
    </row>
    <row r="31" spans="1:13" s="32" customFormat="1" ht="15" customHeight="1">
      <c r="A31" s="29"/>
      <c r="B31" s="36" t="s">
        <v>0</v>
      </c>
      <c r="C31" s="25" t="s">
        <v>1</v>
      </c>
      <c r="D31" s="145" t="s">
        <v>2</v>
      </c>
      <c r="E31" s="145" t="s">
        <v>3</v>
      </c>
      <c r="F31" s="145" t="s">
        <v>4</v>
      </c>
      <c r="G31" s="145" t="s">
        <v>6</v>
      </c>
      <c r="H31" s="145" t="s">
        <v>7</v>
      </c>
      <c r="I31" s="145" t="s">
        <v>32</v>
      </c>
      <c r="J31" s="25" t="s">
        <v>33</v>
      </c>
    </row>
    <row r="32" spans="1:13" s="32" customFormat="1" ht="15" customHeight="1">
      <c r="A32" s="29"/>
      <c r="B32" s="543" t="s">
        <v>136</v>
      </c>
      <c r="C32" s="530" t="s">
        <v>303</v>
      </c>
      <c r="D32" s="532" t="s">
        <v>13</v>
      </c>
      <c r="E32" s="532" t="s">
        <v>10</v>
      </c>
      <c r="F32" s="533"/>
      <c r="G32" s="145" t="s">
        <v>9</v>
      </c>
      <c r="H32" s="528" t="s">
        <v>304</v>
      </c>
      <c r="I32" s="541" t="s">
        <v>12</v>
      </c>
      <c r="J32" s="532" t="s">
        <v>19</v>
      </c>
    </row>
    <row r="33" spans="1:11" s="32" customFormat="1" ht="15" customHeight="1">
      <c r="A33" s="29"/>
      <c r="B33" s="544"/>
      <c r="C33" s="531"/>
      <c r="D33" s="540"/>
      <c r="E33" s="18" t="s">
        <v>14</v>
      </c>
      <c r="F33" s="18" t="s">
        <v>15</v>
      </c>
      <c r="G33" s="18" t="s">
        <v>20</v>
      </c>
      <c r="H33" s="529"/>
      <c r="I33" s="542"/>
      <c r="J33" s="540"/>
    </row>
    <row r="34" spans="1:11" s="32" customFormat="1" ht="15" customHeight="1">
      <c r="A34" s="29">
        <f>MAX($A$5:A33)+1</f>
        <v>25</v>
      </c>
      <c r="B34" s="30" t="str">
        <f t="shared" ref="B34:B51" si="2">B6</f>
        <v>3RD AC RAS GENERATION DROPPING</v>
      </c>
      <c r="C34" s="39">
        <f t="shared" ref="C34:H43" si="3">_xlfn.XLOOKUP($J34,$J$72:$J$90,C$72:C$90,"Not Found",0)</f>
        <v>0</v>
      </c>
      <c r="D34" s="39">
        <f t="shared" si="3"/>
        <v>0</v>
      </c>
      <c r="E34" s="39">
        <f t="shared" si="3"/>
        <v>1</v>
      </c>
      <c r="F34" s="39">
        <f t="shared" si="3"/>
        <v>0</v>
      </c>
      <c r="G34" s="39">
        <f t="shared" si="3"/>
        <v>0</v>
      </c>
      <c r="H34" s="39">
        <f t="shared" si="3"/>
        <v>0</v>
      </c>
      <c r="I34" s="38">
        <f t="shared" ref="I34:I56" si="4">SUM(C34:H34)</f>
        <v>1</v>
      </c>
      <c r="J34" s="37" t="s">
        <v>21</v>
      </c>
      <c r="K34" s="26"/>
    </row>
    <row r="35" spans="1:11" s="32" customFormat="1" ht="15" customHeight="1">
      <c r="A35" s="29">
        <f>MAX($A$5:A34)+1</f>
        <v>26</v>
      </c>
      <c r="B35" s="30" t="str">
        <f t="shared" si="2"/>
        <v>AMORT NONFED PNW AC INTERTIE</v>
      </c>
      <c r="C35" s="39">
        <f t="shared" si="3"/>
        <v>0</v>
      </c>
      <c r="D35" s="39">
        <f t="shared" si="3"/>
        <v>0</v>
      </c>
      <c r="E35" s="39">
        <f t="shared" si="3"/>
        <v>1</v>
      </c>
      <c r="F35" s="39">
        <f t="shared" si="3"/>
        <v>0</v>
      </c>
      <c r="G35" s="39">
        <f t="shared" si="3"/>
        <v>0</v>
      </c>
      <c r="H35" s="39">
        <f t="shared" si="3"/>
        <v>0</v>
      </c>
      <c r="I35" s="38">
        <f t="shared" si="4"/>
        <v>1</v>
      </c>
      <c r="J35" s="37" t="s">
        <v>21</v>
      </c>
      <c r="K35" s="26"/>
    </row>
    <row r="36" spans="1:11" s="32" customFormat="1" ht="15" customHeight="1">
      <c r="A36" s="29">
        <f>MAX($A$5:A35)+1</f>
        <v>27</v>
      </c>
      <c r="B36" s="30" t="str">
        <f t="shared" si="2"/>
        <v>BPA EQUIPMENT USE</v>
      </c>
      <c r="C36" s="39">
        <f t="shared" si="3"/>
        <v>1.6130250447731417E-2</v>
      </c>
      <c r="D36" s="39">
        <f t="shared" si="3"/>
        <v>0.73996186942822972</v>
      </c>
      <c r="E36" s="39">
        <f t="shared" si="3"/>
        <v>8.0977132817954933E-2</v>
      </c>
      <c r="F36" s="39">
        <f t="shared" si="3"/>
        <v>8.2265833533895737E-3</v>
      </c>
      <c r="G36" s="39">
        <f t="shared" si="3"/>
        <v>6.6405189302814885E-4</v>
      </c>
      <c r="H36" s="39">
        <f t="shared" si="3"/>
        <v>0.15404011205966628</v>
      </c>
      <c r="I36" s="38">
        <f t="shared" si="4"/>
        <v>1</v>
      </c>
      <c r="J36" s="37" t="s">
        <v>22</v>
      </c>
      <c r="K36" s="26"/>
    </row>
    <row r="37" spans="1:11" s="26" customFormat="1" ht="15" customHeight="1">
      <c r="A37" s="29">
        <f>MAX($A$5:A36)+1</f>
        <v>28</v>
      </c>
      <c r="B37" s="30" t="str">
        <f t="shared" si="2"/>
        <v>DSI DELIVERY CHARGE</v>
      </c>
      <c r="C37" s="39">
        <f t="shared" si="3"/>
        <v>0</v>
      </c>
      <c r="D37" s="39">
        <f t="shared" si="3"/>
        <v>0</v>
      </c>
      <c r="E37" s="39">
        <f t="shared" si="3"/>
        <v>0</v>
      </c>
      <c r="F37" s="39">
        <f t="shared" si="3"/>
        <v>0</v>
      </c>
      <c r="G37" s="39">
        <f t="shared" si="3"/>
        <v>1</v>
      </c>
      <c r="H37" s="39">
        <f t="shared" si="3"/>
        <v>0</v>
      </c>
      <c r="I37" s="38">
        <f t="shared" si="4"/>
        <v>1</v>
      </c>
      <c r="J37" s="37" t="s">
        <v>23</v>
      </c>
    </row>
    <row r="38" spans="1:11" s="26" customFormat="1" ht="15" customHeight="1">
      <c r="A38" s="29">
        <f>MAX($A$5:A37)+1</f>
        <v>29</v>
      </c>
      <c r="B38" s="30" t="str">
        <f t="shared" si="2"/>
        <v>FIBER LEASES</v>
      </c>
      <c r="C38" s="39">
        <f t="shared" si="3"/>
        <v>1.6130250447731417E-2</v>
      </c>
      <c r="D38" s="39">
        <f t="shared" si="3"/>
        <v>0.73996186942822972</v>
      </c>
      <c r="E38" s="39">
        <f t="shared" si="3"/>
        <v>8.0977132817954933E-2</v>
      </c>
      <c r="F38" s="39">
        <f t="shared" si="3"/>
        <v>8.2265833533895737E-3</v>
      </c>
      <c r="G38" s="39">
        <f t="shared" si="3"/>
        <v>6.6405189302814885E-4</v>
      </c>
      <c r="H38" s="39">
        <f t="shared" si="3"/>
        <v>0.15404011205966628</v>
      </c>
      <c r="I38" s="38">
        <f t="shared" si="4"/>
        <v>1</v>
      </c>
      <c r="J38" s="37" t="s">
        <v>22</v>
      </c>
    </row>
    <row r="39" spans="1:11" s="26" customFormat="1" ht="15" customHeight="1">
      <c r="A39" s="29">
        <f>MAX($A$5:A38)+1</f>
        <v>30</v>
      </c>
      <c r="B39" s="30" t="str">
        <f t="shared" si="2"/>
        <v>FIBER OPERATIONS &amp; MAINTENANCE</v>
      </c>
      <c r="C39" s="39">
        <f t="shared" si="3"/>
        <v>1.6130250447731417E-2</v>
      </c>
      <c r="D39" s="39">
        <f t="shared" si="3"/>
        <v>0.73996186942822972</v>
      </c>
      <c r="E39" s="39">
        <f t="shared" si="3"/>
        <v>8.0977132817954933E-2</v>
      </c>
      <c r="F39" s="39">
        <f t="shared" si="3"/>
        <v>8.2265833533895737E-3</v>
      </c>
      <c r="G39" s="39">
        <f t="shared" si="3"/>
        <v>6.6405189302814885E-4</v>
      </c>
      <c r="H39" s="39">
        <f t="shared" si="3"/>
        <v>0.15404011205966628</v>
      </c>
      <c r="I39" s="38">
        <f t="shared" si="4"/>
        <v>1</v>
      </c>
      <c r="J39" s="37" t="s">
        <v>22</v>
      </c>
    </row>
    <row r="40" spans="1:11" s="26" customFormat="1" ht="15" customHeight="1">
      <c r="A40" s="29">
        <f>MAX($A$5:A39)+1</f>
        <v>31</v>
      </c>
      <c r="B40" s="30" t="str">
        <f t="shared" si="2"/>
        <v>LAND USE/LEASE/SALE</v>
      </c>
      <c r="C40" s="39">
        <f t="shared" si="3"/>
        <v>1.6130250447731417E-2</v>
      </c>
      <c r="D40" s="39">
        <f t="shared" si="3"/>
        <v>0.73996186942822972</v>
      </c>
      <c r="E40" s="39">
        <f t="shared" si="3"/>
        <v>8.0977132817954933E-2</v>
      </c>
      <c r="F40" s="39">
        <f t="shared" si="3"/>
        <v>8.2265833533895737E-3</v>
      </c>
      <c r="G40" s="39">
        <f t="shared" si="3"/>
        <v>6.6405189302814885E-4</v>
      </c>
      <c r="H40" s="39">
        <f t="shared" si="3"/>
        <v>0.15404011205966628</v>
      </c>
      <c r="I40" s="38">
        <f t="shared" si="4"/>
        <v>1</v>
      </c>
      <c r="J40" s="37" t="s">
        <v>22</v>
      </c>
    </row>
    <row r="41" spans="1:11" s="26" customFormat="1" ht="15" customHeight="1">
      <c r="A41" s="29">
        <f>MAX($A$5:A40)+1</f>
        <v>32</v>
      </c>
      <c r="B41" s="30" t="str">
        <f t="shared" si="2"/>
        <v>MISC LEASES</v>
      </c>
      <c r="C41" s="39">
        <f t="shared" si="3"/>
        <v>1.6130250447731417E-2</v>
      </c>
      <c r="D41" s="39">
        <f t="shared" si="3"/>
        <v>0.73996186942822972</v>
      </c>
      <c r="E41" s="39">
        <f t="shared" si="3"/>
        <v>8.0977132817954933E-2</v>
      </c>
      <c r="F41" s="39">
        <f t="shared" si="3"/>
        <v>8.2265833533895737E-3</v>
      </c>
      <c r="G41" s="39">
        <f t="shared" si="3"/>
        <v>6.6405189302814885E-4</v>
      </c>
      <c r="H41" s="39">
        <f t="shared" si="3"/>
        <v>0.15404011205966628</v>
      </c>
      <c r="I41" s="38">
        <f t="shared" si="4"/>
        <v>1</v>
      </c>
      <c r="J41" s="37" t="s">
        <v>22</v>
      </c>
    </row>
    <row r="42" spans="1:11" s="26" customFormat="1" ht="15" customHeight="1">
      <c r="A42" s="29">
        <f>MAX($A$5:A41)+1</f>
        <v>33</v>
      </c>
      <c r="B42" s="30" t="str">
        <f t="shared" si="2"/>
        <v>MISC SERVICE FEES</v>
      </c>
      <c r="C42" s="39">
        <f t="shared" si="3"/>
        <v>1.6130250447731417E-2</v>
      </c>
      <c r="D42" s="39">
        <f t="shared" si="3"/>
        <v>0.73996186942822972</v>
      </c>
      <c r="E42" s="39">
        <f t="shared" si="3"/>
        <v>8.0977132817954933E-2</v>
      </c>
      <c r="F42" s="39">
        <f t="shared" si="3"/>
        <v>8.2265833533895737E-3</v>
      </c>
      <c r="G42" s="39">
        <f t="shared" si="3"/>
        <v>6.6405189302814885E-4</v>
      </c>
      <c r="H42" s="39">
        <f t="shared" si="3"/>
        <v>0.15404011205966628</v>
      </c>
      <c r="I42" s="38">
        <f t="shared" si="4"/>
        <v>1</v>
      </c>
      <c r="J42" s="37" t="s">
        <v>22</v>
      </c>
    </row>
    <row r="43" spans="1:11" s="26" customFormat="1" ht="15" customHeight="1">
      <c r="A43" s="29">
        <f>MAX($A$5:A42)+1</f>
        <v>34</v>
      </c>
      <c r="B43" s="30" t="str">
        <f t="shared" si="2"/>
        <v>O&amp;M FEDERAL FACILITY</v>
      </c>
      <c r="C43" s="39">
        <f t="shared" si="3"/>
        <v>0</v>
      </c>
      <c r="D43" s="39">
        <f t="shared" si="3"/>
        <v>1</v>
      </c>
      <c r="E43" s="39">
        <f t="shared" si="3"/>
        <v>0</v>
      </c>
      <c r="F43" s="39">
        <f t="shared" si="3"/>
        <v>0</v>
      </c>
      <c r="G43" s="39">
        <f t="shared" si="3"/>
        <v>0</v>
      </c>
      <c r="H43" s="39">
        <f t="shared" si="3"/>
        <v>0</v>
      </c>
      <c r="I43" s="38">
        <f t="shared" si="4"/>
        <v>1</v>
      </c>
      <c r="J43" s="37" t="s">
        <v>255</v>
      </c>
    </row>
    <row r="44" spans="1:11" s="26" customFormat="1" ht="15" customHeight="1">
      <c r="A44" s="29">
        <f>MAX($A$5:A43)+1</f>
        <v>35</v>
      </c>
      <c r="B44" s="30" t="str">
        <f t="shared" si="2"/>
        <v>O&amp;M NON-FEDERAL FACILITY</v>
      </c>
      <c r="C44" s="39">
        <f t="shared" ref="C44:H56" si="5">_xlfn.XLOOKUP($J44,$J$72:$J$90,C$72:C$90,"Not Found",0)</f>
        <v>0</v>
      </c>
      <c r="D44" s="39">
        <f t="shared" si="5"/>
        <v>1</v>
      </c>
      <c r="E44" s="39">
        <f t="shared" si="5"/>
        <v>0</v>
      </c>
      <c r="F44" s="39">
        <f t="shared" si="5"/>
        <v>0</v>
      </c>
      <c r="G44" s="39">
        <f t="shared" si="5"/>
        <v>0</v>
      </c>
      <c r="H44" s="39">
        <f t="shared" si="5"/>
        <v>0</v>
      </c>
      <c r="I44" s="38">
        <f t="shared" si="4"/>
        <v>1</v>
      </c>
      <c r="J44" s="37" t="s">
        <v>255</v>
      </c>
    </row>
    <row r="45" spans="1:11" s="26" customFormat="1" ht="15" customHeight="1">
      <c r="A45" s="29">
        <f>MAX($A$5:A44)+1</f>
        <v>36</v>
      </c>
      <c r="B45" s="30" t="str">
        <f t="shared" si="2"/>
        <v>PCS CONSTRUCTION</v>
      </c>
      <c r="C45" s="39">
        <f t="shared" si="5"/>
        <v>1.6130250447731417E-2</v>
      </c>
      <c r="D45" s="39">
        <f t="shared" si="5"/>
        <v>0.73996186942822972</v>
      </c>
      <c r="E45" s="39">
        <f t="shared" si="5"/>
        <v>8.0977132817954933E-2</v>
      </c>
      <c r="F45" s="39">
        <f t="shared" si="5"/>
        <v>8.2265833533895737E-3</v>
      </c>
      <c r="G45" s="39">
        <f t="shared" si="5"/>
        <v>6.6405189302814885E-4</v>
      </c>
      <c r="H45" s="39">
        <f t="shared" si="5"/>
        <v>0.15404011205966628</v>
      </c>
      <c r="I45" s="38">
        <f t="shared" si="4"/>
        <v>1</v>
      </c>
      <c r="J45" s="37" t="s">
        <v>22</v>
      </c>
    </row>
    <row r="46" spans="1:11" s="26" customFormat="1" ht="15" customHeight="1">
      <c r="A46" s="29">
        <f>MAX($A$5:A45)+1</f>
        <v>37</v>
      </c>
      <c r="B46" s="30" t="str">
        <f t="shared" si="2"/>
        <v>PCS OPERATIONS &amp; MAINTENANCE</v>
      </c>
      <c r="C46" s="39">
        <f t="shared" si="5"/>
        <v>1.6130250447731417E-2</v>
      </c>
      <c r="D46" s="39">
        <f t="shared" si="5"/>
        <v>0.73996186942822972</v>
      </c>
      <c r="E46" s="39">
        <f t="shared" si="5"/>
        <v>8.0977132817954933E-2</v>
      </c>
      <c r="F46" s="39">
        <f t="shared" si="5"/>
        <v>8.2265833533895737E-3</v>
      </c>
      <c r="G46" s="39">
        <f t="shared" si="5"/>
        <v>6.6405189302814885E-4</v>
      </c>
      <c r="H46" s="39">
        <f t="shared" si="5"/>
        <v>0.15404011205966628</v>
      </c>
      <c r="I46" s="38">
        <f t="shared" si="4"/>
        <v>1</v>
      </c>
      <c r="J46" s="37" t="s">
        <v>22</v>
      </c>
    </row>
    <row r="47" spans="1:11" s="26" customFormat="1" ht="15" customHeight="1">
      <c r="A47" s="29">
        <f>MAX($A$5:A46)+1</f>
        <v>38</v>
      </c>
      <c r="B47" s="30" t="str">
        <f t="shared" si="2"/>
        <v>PCS WIRELESS LEASES</v>
      </c>
      <c r="C47" s="39">
        <f t="shared" si="5"/>
        <v>1.6130250447731417E-2</v>
      </c>
      <c r="D47" s="39">
        <f t="shared" si="5"/>
        <v>0.73996186942822972</v>
      </c>
      <c r="E47" s="39">
        <f t="shared" si="5"/>
        <v>8.0977132817954933E-2</v>
      </c>
      <c r="F47" s="39">
        <f t="shared" si="5"/>
        <v>8.2265833533895737E-3</v>
      </c>
      <c r="G47" s="39">
        <f t="shared" si="5"/>
        <v>6.6405189302814885E-4</v>
      </c>
      <c r="H47" s="39">
        <f t="shared" si="5"/>
        <v>0.15404011205966628</v>
      </c>
      <c r="I47" s="38">
        <f t="shared" si="4"/>
        <v>1</v>
      </c>
      <c r="J47" s="37" t="s">
        <v>22</v>
      </c>
    </row>
    <row r="48" spans="1:11" s="32" customFormat="1" ht="15" customHeight="1">
      <c r="A48" s="29">
        <f>MAX($A$5:A47)+1</f>
        <v>39</v>
      </c>
      <c r="B48" s="30" t="str">
        <f t="shared" si="2"/>
        <v>PTP RESERVATION FEE</v>
      </c>
      <c r="C48" s="39">
        <f t="shared" si="5"/>
        <v>0</v>
      </c>
      <c r="D48" s="39">
        <f t="shared" si="5"/>
        <v>1</v>
      </c>
      <c r="E48" s="39">
        <f t="shared" si="5"/>
        <v>0</v>
      </c>
      <c r="F48" s="39">
        <f t="shared" si="5"/>
        <v>0</v>
      </c>
      <c r="G48" s="39">
        <f t="shared" si="5"/>
        <v>0</v>
      </c>
      <c r="H48" s="39">
        <f t="shared" si="5"/>
        <v>0</v>
      </c>
      <c r="I48" s="38">
        <f t="shared" si="4"/>
        <v>1</v>
      </c>
      <c r="J48" s="37" t="s">
        <v>24</v>
      </c>
      <c r="K48" s="26"/>
    </row>
    <row r="49" spans="1:12" s="32" customFormat="1" ht="15" customHeight="1">
      <c r="A49" s="29">
        <f>MAX($A$5:A48)+1</f>
        <v>40</v>
      </c>
      <c r="B49" s="30" t="str">
        <f t="shared" si="2"/>
        <v>RIGHT-OF-WAY LEASE</v>
      </c>
      <c r="C49" s="39">
        <f t="shared" si="5"/>
        <v>1.6130250447731417E-2</v>
      </c>
      <c r="D49" s="39">
        <f t="shared" si="5"/>
        <v>0.73996186942822972</v>
      </c>
      <c r="E49" s="39">
        <f t="shared" si="5"/>
        <v>8.0977132817954933E-2</v>
      </c>
      <c r="F49" s="39">
        <f t="shared" si="5"/>
        <v>8.2265833533895737E-3</v>
      </c>
      <c r="G49" s="39">
        <f t="shared" si="5"/>
        <v>6.6405189302814885E-4</v>
      </c>
      <c r="H49" s="39">
        <f t="shared" si="5"/>
        <v>0.15404011205966628</v>
      </c>
      <c r="I49" s="38">
        <f t="shared" si="4"/>
        <v>1</v>
      </c>
      <c r="J49" s="37" t="s">
        <v>22</v>
      </c>
      <c r="K49" s="26"/>
    </row>
    <row r="50" spans="1:12" s="32" customFormat="1" ht="15" customHeight="1">
      <c r="A50" s="29">
        <f>MAX($A$5:A49)+1</f>
        <v>41</v>
      </c>
      <c r="B50" s="30" t="str">
        <f t="shared" si="2"/>
        <v>SINT AC NON FEDERAL O&amp;M</v>
      </c>
      <c r="C50" s="39">
        <f t="shared" si="5"/>
        <v>0</v>
      </c>
      <c r="D50" s="39">
        <f t="shared" si="5"/>
        <v>0</v>
      </c>
      <c r="E50" s="39">
        <f t="shared" si="5"/>
        <v>1</v>
      </c>
      <c r="F50" s="39">
        <f t="shared" si="5"/>
        <v>0</v>
      </c>
      <c r="G50" s="39">
        <f t="shared" si="5"/>
        <v>0</v>
      </c>
      <c r="H50" s="39">
        <f t="shared" si="5"/>
        <v>0</v>
      </c>
      <c r="I50" s="38">
        <f t="shared" si="4"/>
        <v>1</v>
      </c>
      <c r="J50" s="37" t="s">
        <v>21</v>
      </c>
      <c r="K50" s="26"/>
    </row>
    <row r="51" spans="1:12" s="32" customFormat="1" ht="15" customHeight="1">
      <c r="A51" s="29">
        <f>MAX($A$5:A50)+1</f>
        <v>42</v>
      </c>
      <c r="B51" s="30" t="str">
        <f t="shared" si="2"/>
        <v>TRANSMISSION OPERATOR SERVICES</v>
      </c>
      <c r="C51" s="39">
        <f t="shared" si="5"/>
        <v>0</v>
      </c>
      <c r="D51" s="39">
        <f t="shared" si="5"/>
        <v>1</v>
      </c>
      <c r="E51" s="39">
        <f t="shared" si="5"/>
        <v>0</v>
      </c>
      <c r="F51" s="39">
        <f t="shared" si="5"/>
        <v>0</v>
      </c>
      <c r="G51" s="39">
        <f t="shared" si="5"/>
        <v>0</v>
      </c>
      <c r="H51" s="39">
        <f t="shared" si="5"/>
        <v>0</v>
      </c>
      <c r="I51" s="38">
        <f t="shared" si="4"/>
        <v>1</v>
      </c>
      <c r="J51" s="37" t="s">
        <v>24</v>
      </c>
      <c r="K51" s="26"/>
    </row>
    <row r="52" spans="1:12" s="32" customFormat="1" ht="15" customHeight="1">
      <c r="A52" s="29">
        <f>MAX($A$5:A51)+1</f>
        <v>43</v>
      </c>
      <c r="B52" s="30" t="str">
        <f t="shared" ref="B52:B56" si="6">B24</f>
        <v>TRANSMISSION PLANNER CFR SERV</v>
      </c>
      <c r="C52" s="39">
        <f t="shared" si="5"/>
        <v>0</v>
      </c>
      <c r="D52" s="39">
        <f t="shared" si="5"/>
        <v>1</v>
      </c>
      <c r="E52" s="39">
        <f t="shared" si="5"/>
        <v>0</v>
      </c>
      <c r="F52" s="39">
        <f t="shared" si="5"/>
        <v>0</v>
      </c>
      <c r="G52" s="39">
        <f t="shared" si="5"/>
        <v>0</v>
      </c>
      <c r="H52" s="39">
        <f t="shared" si="5"/>
        <v>0</v>
      </c>
      <c r="I52" s="38">
        <f t="shared" si="4"/>
        <v>1</v>
      </c>
      <c r="J52" s="37" t="s">
        <v>24</v>
      </c>
      <c r="K52" s="26"/>
    </row>
    <row r="53" spans="1:12" s="32" customFormat="1" ht="15" customHeight="1">
      <c r="A53" s="29">
        <f>MAX($A$5:A52)+1</f>
        <v>44</v>
      </c>
      <c r="B53" s="30" t="str">
        <f t="shared" si="6"/>
        <v>TRANSMISSION PROCESSING FEE</v>
      </c>
      <c r="C53" s="39">
        <f t="shared" si="5"/>
        <v>0</v>
      </c>
      <c r="D53" s="39">
        <f t="shared" si="5"/>
        <v>1</v>
      </c>
      <c r="E53" s="39">
        <f t="shared" si="5"/>
        <v>0</v>
      </c>
      <c r="F53" s="39">
        <f t="shared" si="5"/>
        <v>0</v>
      </c>
      <c r="G53" s="39">
        <f t="shared" si="5"/>
        <v>0</v>
      </c>
      <c r="H53" s="39">
        <f t="shared" si="5"/>
        <v>0</v>
      </c>
      <c r="I53" s="38">
        <f t="shared" si="4"/>
        <v>1</v>
      </c>
      <c r="J53" s="37" t="s">
        <v>24</v>
      </c>
      <c r="K53" s="26"/>
    </row>
    <row r="54" spans="1:12" s="32" customFormat="1" ht="15" customHeight="1">
      <c r="A54" s="29">
        <f>MAX($A$5:A53)+1</f>
        <v>45</v>
      </c>
      <c r="B54" s="30" t="str">
        <f t="shared" si="6"/>
        <v>TS SHARE OF RES ENRGY/WHLG-COE</v>
      </c>
      <c r="C54" s="39">
        <f t="shared" si="5"/>
        <v>0</v>
      </c>
      <c r="D54" s="39">
        <f t="shared" si="5"/>
        <v>1</v>
      </c>
      <c r="E54" s="39">
        <f t="shared" si="5"/>
        <v>0</v>
      </c>
      <c r="F54" s="39">
        <f t="shared" si="5"/>
        <v>0</v>
      </c>
      <c r="G54" s="39">
        <f t="shared" si="5"/>
        <v>0</v>
      </c>
      <c r="H54" s="39">
        <f t="shared" si="5"/>
        <v>0</v>
      </c>
      <c r="I54" s="38">
        <f t="shared" si="4"/>
        <v>1</v>
      </c>
      <c r="J54" s="37" t="s">
        <v>24</v>
      </c>
      <c r="K54" s="26"/>
    </row>
    <row r="55" spans="1:12" s="26" customFormat="1" ht="15" customHeight="1">
      <c r="A55" s="29">
        <f>MAX($A$5:A54)+1</f>
        <v>46</v>
      </c>
      <c r="B55" s="30" t="str">
        <f t="shared" si="6"/>
        <v>UFT FIXED DOLLAR AMOUNT</v>
      </c>
      <c r="C55" s="39">
        <f t="shared" si="5"/>
        <v>0</v>
      </c>
      <c r="D55" s="39">
        <f t="shared" si="5"/>
        <v>0.31652592629887361</v>
      </c>
      <c r="E55" s="39">
        <f t="shared" si="5"/>
        <v>0.49431769878562426</v>
      </c>
      <c r="F55" s="39">
        <f t="shared" si="5"/>
        <v>0.18915637491550213</v>
      </c>
      <c r="G55" s="39">
        <f t="shared" si="5"/>
        <v>0</v>
      </c>
      <c r="H55" s="39">
        <f t="shared" si="5"/>
        <v>0</v>
      </c>
      <c r="I55" s="38">
        <f t="shared" si="4"/>
        <v>1</v>
      </c>
      <c r="J55" s="37" t="s">
        <v>256</v>
      </c>
    </row>
    <row r="56" spans="1:12" s="26" customFormat="1" ht="15" customHeight="1">
      <c r="A56" s="29">
        <f>MAX($A$5:A55)+1</f>
        <v>47</v>
      </c>
      <c r="B56" s="30" t="str">
        <f t="shared" si="6"/>
        <v>UFT VARIABLE SERVICE AMT</v>
      </c>
      <c r="C56" s="39">
        <f t="shared" si="5"/>
        <v>0</v>
      </c>
      <c r="D56" s="39">
        <f t="shared" si="5"/>
        <v>0.31652592629887361</v>
      </c>
      <c r="E56" s="39">
        <f t="shared" si="5"/>
        <v>0.49431769878562426</v>
      </c>
      <c r="F56" s="39">
        <f t="shared" si="5"/>
        <v>0.18915637491550213</v>
      </c>
      <c r="G56" s="39">
        <f t="shared" si="5"/>
        <v>0</v>
      </c>
      <c r="H56" s="39">
        <f t="shared" si="5"/>
        <v>0</v>
      </c>
      <c r="I56" s="38">
        <f t="shared" si="4"/>
        <v>1</v>
      </c>
      <c r="J56" s="37" t="s">
        <v>256</v>
      </c>
    </row>
    <row r="57" spans="1:12" s="26" customFormat="1" ht="15" customHeight="1">
      <c r="A57" s="29"/>
      <c r="B57" s="30"/>
      <c r="C57" s="39"/>
      <c r="D57" s="39"/>
      <c r="E57" s="39"/>
      <c r="F57" s="39"/>
      <c r="G57" s="39"/>
      <c r="H57" s="39"/>
      <c r="I57" s="38"/>
      <c r="J57" s="37"/>
    </row>
    <row r="58" spans="1:12" ht="15" outlineLevel="1">
      <c r="A58" s="50" t="s">
        <v>81</v>
      </c>
      <c r="L58" s="26"/>
    </row>
    <row r="59" spans="1:12" ht="15" outlineLevel="1">
      <c r="A59" s="50"/>
      <c r="B59" s="53" t="s">
        <v>186</v>
      </c>
      <c r="C59" s="21"/>
    </row>
    <row r="60" spans="1:12" ht="33" customHeight="1" outlineLevel="1">
      <c r="A60" s="52"/>
      <c r="B60" s="545" t="s">
        <v>187</v>
      </c>
      <c r="C60" s="546"/>
      <c r="D60" s="546"/>
      <c r="E60" s="546"/>
      <c r="F60" s="546"/>
      <c r="G60" s="546"/>
      <c r="H60" s="546"/>
      <c r="I60" s="546"/>
    </row>
    <row r="61" spans="1:12" ht="14.25" customHeight="1" outlineLevel="1">
      <c r="A61" s="52"/>
    </row>
    <row r="62" spans="1:12" ht="15" outlineLevel="1">
      <c r="A62" s="50"/>
      <c r="B62" s="54"/>
      <c r="E62" s="55"/>
      <c r="F62" s="21"/>
    </row>
    <row r="63" spans="1:12" ht="15" outlineLevel="1">
      <c r="A63" s="56" t="s">
        <v>120</v>
      </c>
      <c r="B63" s="53" t="s">
        <v>94</v>
      </c>
      <c r="C63" s="21"/>
      <c r="D63" s="21"/>
      <c r="E63" s="21"/>
      <c r="F63" s="21"/>
    </row>
    <row r="64" spans="1:12" ht="15" outlineLevel="1">
      <c r="A64" s="56"/>
      <c r="C64" s="57" t="s">
        <v>174</v>
      </c>
      <c r="D64" s="57" t="s">
        <v>175</v>
      </c>
      <c r="E64" s="78"/>
      <c r="F64" s="78"/>
      <c r="G64" s="78"/>
      <c r="H64" s="78"/>
      <c r="I64" s="57" t="s">
        <v>12</v>
      </c>
    </row>
    <row r="65" spans="1:10" outlineLevel="1">
      <c r="B65" s="59" t="s">
        <v>445</v>
      </c>
      <c r="C65" s="566">
        <f>'T-8.1'!G13</f>
        <v>258763.67067787607</v>
      </c>
      <c r="D65" s="566">
        <f>'T-8.1'!G62</f>
        <v>0</v>
      </c>
      <c r="E65" s="566"/>
      <c r="F65" s="566"/>
      <c r="G65" s="566"/>
      <c r="H65" s="566"/>
      <c r="I65" s="567">
        <f>SUM(C65:H65)</f>
        <v>258763.67067787607</v>
      </c>
    </row>
    <row r="66" spans="1:10" outlineLevel="1">
      <c r="A66" s="26"/>
      <c r="B66" s="59" t="s">
        <v>177</v>
      </c>
      <c r="C66" s="566"/>
      <c r="D66" s="566"/>
      <c r="E66" s="566"/>
      <c r="F66" s="566"/>
      <c r="G66" s="566"/>
      <c r="H66" s="566"/>
      <c r="I66" s="567">
        <f>'T-1'!C46</f>
        <v>1679846.0298292038</v>
      </c>
    </row>
    <row r="67" spans="1:10" outlineLevel="1">
      <c r="B67" s="59" t="s">
        <v>178</v>
      </c>
      <c r="C67" s="568">
        <f>C65/$I$66</f>
        <v>0.15404011205966628</v>
      </c>
      <c r="D67" s="568">
        <f>D65/$I$66</f>
        <v>0</v>
      </c>
      <c r="E67" s="568"/>
      <c r="F67" s="568"/>
      <c r="G67" s="568"/>
      <c r="H67" s="568"/>
      <c r="I67" s="569">
        <f>I65/$I$66</f>
        <v>0.15404011205966628</v>
      </c>
    </row>
    <row r="68" spans="1:10" outlineLevel="1">
      <c r="B68" s="60" t="s">
        <v>179</v>
      </c>
      <c r="C68" s="565"/>
      <c r="D68" s="565"/>
      <c r="E68" s="565"/>
      <c r="F68" s="565"/>
      <c r="G68" s="565"/>
      <c r="H68" s="565"/>
      <c r="I68" s="565"/>
    </row>
    <row r="69" spans="1:10" outlineLevel="1">
      <c r="B69" s="61" t="s">
        <v>180</v>
      </c>
      <c r="C69" s="570" t="s">
        <v>306</v>
      </c>
      <c r="D69" s="570" t="s">
        <v>13</v>
      </c>
      <c r="E69" s="570" t="s">
        <v>308</v>
      </c>
      <c r="F69" s="570" t="s">
        <v>309</v>
      </c>
      <c r="G69" s="570" t="s">
        <v>307</v>
      </c>
      <c r="H69" s="570" t="s">
        <v>11</v>
      </c>
      <c r="I69" s="570" t="s">
        <v>12</v>
      </c>
    </row>
    <row r="70" spans="1:10" outlineLevel="1">
      <c r="A70" s="26"/>
      <c r="B70" s="62" t="s">
        <v>453</v>
      </c>
      <c r="C70" s="566">
        <f>'T-1'!D39</f>
        <v>144458.47850073539</v>
      </c>
      <c r="D70" s="566">
        <f>'T-1'!E39</f>
        <v>6626912.9640944665</v>
      </c>
      <c r="E70" s="566">
        <f>'T-1'!F39</f>
        <v>725210.89726036694</v>
      </c>
      <c r="F70" s="566">
        <f>'T-1'!G39</f>
        <v>73675.217774270437</v>
      </c>
      <c r="G70" s="566">
        <f>'T-1'!H39</f>
        <v>5947.0822491705903</v>
      </c>
      <c r="H70" s="566">
        <f>'T-1'!I39</f>
        <v>365938.95225936035</v>
      </c>
      <c r="I70" s="567">
        <f>SUM(C70:H70)</f>
        <v>7942143.5921383686</v>
      </c>
    </row>
    <row r="71" spans="1:10" outlineLevel="1">
      <c r="A71" s="26"/>
      <c r="B71" s="62" t="s">
        <v>181</v>
      </c>
      <c r="C71" s="571">
        <f>C70/($I$70-$H$70)</f>
        <v>1.9067393948197574E-2</v>
      </c>
      <c r="D71" s="571">
        <f>D70/($I$70-$H$70)</f>
        <v>0.87470089300548481</v>
      </c>
      <c r="E71" s="571">
        <f>E70/($I$70-$H$70)</f>
        <v>9.5722189636095745E-2</v>
      </c>
      <c r="F71" s="571">
        <f>F70/($I$70-$H$70)</f>
        <v>9.7245548762588622E-3</v>
      </c>
      <c r="G71" s="571">
        <f>G70/($I$70-$H$70)</f>
        <v>7.8496853396314338E-4</v>
      </c>
      <c r="H71" s="565"/>
      <c r="I71" s="572">
        <f>SUM(C71:H71)</f>
        <v>1</v>
      </c>
    </row>
    <row r="72" spans="1:10" outlineLevel="1">
      <c r="B72" s="60" t="s">
        <v>182</v>
      </c>
      <c r="C72" s="573">
        <f>C71*(1-$H$72)</f>
        <v>1.6130250447731417E-2</v>
      </c>
      <c r="D72" s="573">
        <f>D71*(1-$H$72)</f>
        <v>0.73996186942822972</v>
      </c>
      <c r="E72" s="573">
        <f>E71*(1-$H$72)</f>
        <v>8.0977132817954933E-2</v>
      </c>
      <c r="F72" s="573">
        <f>F71*(1-$H$72)</f>
        <v>8.2265833533895737E-3</v>
      </c>
      <c r="G72" s="573">
        <f>G71*(1-$H$72)</f>
        <v>6.6405189302814885E-4</v>
      </c>
      <c r="H72" s="573">
        <f>C67+D67</f>
        <v>0.15404011205966628</v>
      </c>
      <c r="I72" s="572">
        <f>SUM(C72:H72)</f>
        <v>1</v>
      </c>
      <c r="J72" s="576" t="s">
        <v>22</v>
      </c>
    </row>
    <row r="73" spans="1:10" outlineLevel="1">
      <c r="B73" s="60"/>
      <c r="C73" s="574"/>
      <c r="D73" s="574"/>
      <c r="E73" s="574"/>
      <c r="F73" s="574"/>
      <c r="G73" s="574"/>
      <c r="H73" s="574"/>
      <c r="I73" s="565"/>
      <c r="J73" s="576"/>
    </row>
    <row r="74" spans="1:10" ht="15" outlineLevel="1">
      <c r="A74" s="56" t="s">
        <v>95</v>
      </c>
      <c r="B74" s="53" t="s">
        <v>83</v>
      </c>
      <c r="C74" s="565"/>
      <c r="D74" s="565"/>
      <c r="E74" s="565"/>
      <c r="F74" s="565"/>
      <c r="G74" s="565"/>
      <c r="H74" s="574"/>
      <c r="I74" s="565"/>
      <c r="J74" s="576"/>
    </row>
    <row r="75" spans="1:10" ht="15" outlineLevel="1">
      <c r="A75" s="56" t="s">
        <v>96</v>
      </c>
      <c r="B75" s="53" t="s">
        <v>183</v>
      </c>
      <c r="C75" s="565"/>
      <c r="D75" s="565"/>
      <c r="E75" s="565"/>
      <c r="F75" s="565"/>
      <c r="G75" s="565"/>
      <c r="H75" s="574"/>
      <c r="I75" s="565"/>
      <c r="J75" s="576"/>
    </row>
    <row r="76" spans="1:10" outlineLevel="1">
      <c r="A76" s="26"/>
      <c r="B76" s="21"/>
      <c r="C76" s="570" t="s">
        <v>306</v>
      </c>
      <c r="D76" s="570" t="s">
        <v>13</v>
      </c>
      <c r="E76" s="570" t="s">
        <v>308</v>
      </c>
      <c r="F76" s="570" t="s">
        <v>309</v>
      </c>
      <c r="G76" s="570" t="s">
        <v>307</v>
      </c>
      <c r="H76" s="570" t="s">
        <v>11</v>
      </c>
      <c r="I76" s="570" t="s">
        <v>12</v>
      </c>
      <c r="J76" s="576"/>
    </row>
    <row r="77" spans="1:10" outlineLevel="1">
      <c r="A77" s="26"/>
      <c r="B77" s="54" t="s">
        <v>125</v>
      </c>
      <c r="C77" s="566">
        <v>0</v>
      </c>
      <c r="D77" s="566">
        <v>1150479</v>
      </c>
      <c r="E77" s="566">
        <v>1796700</v>
      </c>
      <c r="F77" s="566">
        <v>687528</v>
      </c>
      <c r="G77" s="566">
        <v>0</v>
      </c>
      <c r="H77" s="566">
        <v>0</v>
      </c>
      <c r="I77" s="567">
        <f>SUM(C77:H77)</f>
        <v>3634707</v>
      </c>
      <c r="J77" s="576"/>
    </row>
    <row r="78" spans="1:10" outlineLevel="1">
      <c r="A78" s="26"/>
      <c r="B78" s="63" t="s">
        <v>97</v>
      </c>
      <c r="C78" s="483">
        <f t="shared" ref="C78:H78" si="7">C77/$I$77</f>
        <v>0</v>
      </c>
      <c r="D78" s="483">
        <f t="shared" si="7"/>
        <v>0.31652592629887361</v>
      </c>
      <c r="E78" s="483">
        <f t="shared" si="7"/>
        <v>0.49431769878562426</v>
      </c>
      <c r="F78" s="483">
        <f t="shared" si="7"/>
        <v>0.18915637491550213</v>
      </c>
      <c r="G78" s="483">
        <f t="shared" si="7"/>
        <v>0</v>
      </c>
      <c r="H78" s="483">
        <f t="shared" si="7"/>
        <v>0</v>
      </c>
      <c r="I78" s="572">
        <f>SUM(C78:H78)</f>
        <v>1</v>
      </c>
      <c r="J78" s="576" t="s">
        <v>256</v>
      </c>
    </row>
    <row r="79" spans="1:10" outlineLevel="1">
      <c r="B79" s="54" t="s">
        <v>128</v>
      </c>
      <c r="C79" s="566">
        <v>0</v>
      </c>
      <c r="D79" s="566">
        <v>638276</v>
      </c>
      <c r="E79" s="566">
        <v>0</v>
      </c>
      <c r="F79" s="566">
        <v>0</v>
      </c>
      <c r="G79" s="566">
        <v>0</v>
      </c>
      <c r="H79" s="566">
        <v>0</v>
      </c>
      <c r="I79" s="567">
        <f>SUM(C79:H79)</f>
        <v>638276</v>
      </c>
      <c r="J79" s="576"/>
    </row>
    <row r="80" spans="1:10" outlineLevel="1">
      <c r="A80" s="26"/>
      <c r="B80" s="63" t="s">
        <v>97</v>
      </c>
      <c r="C80" s="483">
        <f t="shared" ref="C80:H80" si="8">C79/$I$79</f>
        <v>0</v>
      </c>
      <c r="D80" s="483">
        <f t="shared" si="8"/>
        <v>1</v>
      </c>
      <c r="E80" s="483">
        <f t="shared" si="8"/>
        <v>0</v>
      </c>
      <c r="F80" s="483">
        <f t="shared" si="8"/>
        <v>0</v>
      </c>
      <c r="G80" s="483">
        <f t="shared" si="8"/>
        <v>0</v>
      </c>
      <c r="H80" s="483">
        <f t="shared" si="8"/>
        <v>0</v>
      </c>
      <c r="I80" s="572">
        <f>SUM(C80:H80)</f>
        <v>1</v>
      </c>
      <c r="J80" s="576" t="s">
        <v>255</v>
      </c>
    </row>
    <row r="81" spans="1:10" outlineLevel="1">
      <c r="A81" s="26"/>
      <c r="B81" s="21"/>
      <c r="C81" s="565"/>
      <c r="D81" s="565"/>
      <c r="E81" s="565"/>
      <c r="F81" s="565"/>
      <c r="G81" s="565"/>
      <c r="H81" s="574"/>
      <c r="I81" s="565"/>
      <c r="J81" s="576"/>
    </row>
    <row r="82" spans="1:10" ht="15" outlineLevel="1">
      <c r="A82" s="50"/>
      <c r="C82" s="565"/>
      <c r="D82" s="565"/>
      <c r="E82" s="575"/>
      <c r="F82" s="565"/>
      <c r="G82" s="565"/>
      <c r="H82" s="565"/>
      <c r="I82" s="565"/>
      <c r="J82" s="576"/>
    </row>
    <row r="83" spans="1:10" ht="15" outlineLevel="1">
      <c r="A83" s="56" t="s">
        <v>170</v>
      </c>
      <c r="B83" s="53" t="s">
        <v>171</v>
      </c>
      <c r="C83" s="570" t="s">
        <v>306</v>
      </c>
      <c r="D83" s="570" t="s">
        <v>13</v>
      </c>
      <c r="E83" s="570" t="s">
        <v>308</v>
      </c>
      <c r="F83" s="570" t="s">
        <v>309</v>
      </c>
      <c r="G83" s="570" t="s">
        <v>307</v>
      </c>
      <c r="H83" s="570" t="s">
        <v>11</v>
      </c>
      <c r="I83" s="570" t="s">
        <v>12</v>
      </c>
      <c r="J83" s="576"/>
    </row>
    <row r="84" spans="1:10" outlineLevel="1">
      <c r="B84" s="54" t="s">
        <v>217</v>
      </c>
      <c r="C84" s="566">
        <v>0</v>
      </c>
      <c r="D84" s="566">
        <v>112077786.4263487</v>
      </c>
      <c r="E84" s="566">
        <v>0</v>
      </c>
      <c r="F84" s="566">
        <v>0</v>
      </c>
      <c r="G84" s="566">
        <v>0</v>
      </c>
      <c r="H84" s="566">
        <v>0</v>
      </c>
      <c r="I84" s="567">
        <f>SUM(C84:H84)</f>
        <v>112077786.4263487</v>
      </c>
      <c r="J84" s="576"/>
    </row>
    <row r="85" spans="1:10" outlineLevel="1">
      <c r="A85" s="26"/>
      <c r="B85" s="63" t="s">
        <v>97</v>
      </c>
      <c r="C85" s="64">
        <f t="shared" ref="C85:H85" si="9">C84/$I$84</f>
        <v>0</v>
      </c>
      <c r="D85" s="64">
        <f t="shared" si="9"/>
        <v>1</v>
      </c>
      <c r="E85" s="64">
        <f t="shared" si="9"/>
        <v>0</v>
      </c>
      <c r="F85" s="64">
        <f t="shared" si="9"/>
        <v>0</v>
      </c>
      <c r="G85" s="64">
        <f t="shared" si="9"/>
        <v>0</v>
      </c>
      <c r="H85" s="64">
        <f t="shared" si="9"/>
        <v>0</v>
      </c>
      <c r="I85" s="77">
        <f>SUM(C85:H85)</f>
        <v>1</v>
      </c>
      <c r="J85" s="576" t="s">
        <v>310</v>
      </c>
    </row>
    <row r="86" spans="1:10" outlineLevel="1">
      <c r="A86" s="26"/>
      <c r="B86" s="63"/>
      <c r="C86" s="64"/>
      <c r="D86" s="64"/>
      <c r="E86" s="64"/>
      <c r="F86" s="64"/>
      <c r="G86" s="64"/>
      <c r="H86" s="64"/>
      <c r="I86" s="77"/>
      <c r="J86" s="576"/>
    </row>
    <row r="87" spans="1:10" outlineLevel="1">
      <c r="A87" s="26"/>
      <c r="B87" s="63"/>
      <c r="C87" s="57" t="s">
        <v>306</v>
      </c>
      <c r="D87" s="57" t="s">
        <v>13</v>
      </c>
      <c r="E87" s="57" t="s">
        <v>308</v>
      </c>
      <c r="F87" s="57" t="s">
        <v>309</v>
      </c>
      <c r="G87" s="57" t="s">
        <v>307</v>
      </c>
      <c r="H87" s="57" t="s">
        <v>11</v>
      </c>
      <c r="I87" s="57" t="s">
        <v>12</v>
      </c>
      <c r="J87" s="576"/>
    </row>
    <row r="88" spans="1:10" outlineLevel="1">
      <c r="A88" s="26"/>
      <c r="B88" s="63"/>
      <c r="C88" s="483"/>
      <c r="D88" s="483"/>
      <c r="E88" s="483">
        <v>1</v>
      </c>
      <c r="F88" s="483"/>
      <c r="G88" s="483"/>
      <c r="H88" s="483"/>
      <c r="I88" s="77">
        <f>SUM(C88:H88)</f>
        <v>1</v>
      </c>
      <c r="J88" s="576" t="s">
        <v>21</v>
      </c>
    </row>
    <row r="89" spans="1:10" outlineLevel="1">
      <c r="A89" s="26"/>
      <c r="B89" s="482"/>
      <c r="C89" s="483"/>
      <c r="D89" s="483"/>
      <c r="E89" s="483"/>
      <c r="F89" s="483"/>
      <c r="G89" s="483">
        <v>1</v>
      </c>
      <c r="H89" s="483"/>
      <c r="I89" s="77">
        <f>SUM(C89:H89)</f>
        <v>1</v>
      </c>
      <c r="J89" s="576" t="s">
        <v>23</v>
      </c>
    </row>
    <row r="90" spans="1:10" outlineLevel="1">
      <c r="A90" s="26"/>
      <c r="B90" s="63"/>
      <c r="C90" s="483"/>
      <c r="D90" s="483">
        <v>1</v>
      </c>
      <c r="E90" s="483"/>
      <c r="F90" s="483"/>
      <c r="G90" s="483"/>
      <c r="H90" s="483"/>
      <c r="I90" s="77">
        <f>SUM(C90:H90)</f>
        <v>1</v>
      </c>
      <c r="J90" s="576" t="s">
        <v>24</v>
      </c>
    </row>
    <row r="91" spans="1:10" outlineLevel="1">
      <c r="A91" s="26"/>
      <c r="B91" s="63"/>
      <c r="C91" s="64"/>
      <c r="D91" s="64"/>
      <c r="E91" s="64"/>
      <c r="F91" s="64"/>
      <c r="G91" s="64"/>
      <c r="H91" s="64"/>
      <c r="I91" s="64"/>
      <c r="J91" s="77"/>
    </row>
    <row r="92" spans="1:10" s="26" customFormat="1" ht="15" customHeight="1">
      <c r="A92" s="40"/>
      <c r="B92" s="36" t="s">
        <v>0</v>
      </c>
      <c r="C92" s="25" t="s">
        <v>1</v>
      </c>
      <c r="D92" s="145" t="s">
        <v>2</v>
      </c>
      <c r="E92" s="145" t="s">
        <v>3</v>
      </c>
      <c r="F92" s="145" t="s">
        <v>4</v>
      </c>
      <c r="G92" s="145" t="s">
        <v>6</v>
      </c>
      <c r="H92" s="145" t="s">
        <v>7</v>
      </c>
      <c r="I92" s="145" t="s">
        <v>32</v>
      </c>
      <c r="J92" s="145"/>
    </row>
    <row r="93" spans="1:10" s="26" customFormat="1" ht="15" customHeight="1">
      <c r="A93" s="41"/>
      <c r="B93" s="538" t="s">
        <v>454</v>
      </c>
      <c r="C93" s="530" t="s">
        <v>303</v>
      </c>
      <c r="D93" s="532" t="s">
        <v>13</v>
      </c>
      <c r="E93" s="532" t="s">
        <v>10</v>
      </c>
      <c r="F93" s="533"/>
      <c r="G93" s="145" t="s">
        <v>9</v>
      </c>
      <c r="H93" s="528" t="s">
        <v>304</v>
      </c>
      <c r="I93" s="528" t="s">
        <v>12</v>
      </c>
      <c r="J93" s="43"/>
    </row>
    <row r="94" spans="1:10" s="26" customFormat="1" ht="15" customHeight="1">
      <c r="A94" s="44"/>
      <c r="B94" s="539"/>
      <c r="C94" s="531"/>
      <c r="D94" s="540"/>
      <c r="E94" s="18" t="s">
        <v>14</v>
      </c>
      <c r="F94" s="18" t="s">
        <v>15</v>
      </c>
      <c r="G94" s="18" t="s">
        <v>20</v>
      </c>
      <c r="H94" s="529"/>
      <c r="I94" s="529"/>
      <c r="J94" s="145"/>
    </row>
    <row r="95" spans="1:10" s="26" customFormat="1" ht="15" customHeight="1">
      <c r="A95" s="29">
        <f>MAX($A$5:A94)+1</f>
        <v>48</v>
      </c>
      <c r="B95" s="30" t="str">
        <f t="shared" ref="B95:B117" si="10">B6</f>
        <v>3RD AC RAS GENERATION DROPPING</v>
      </c>
      <c r="C95" s="65">
        <f>IF(AND($B95=$B6,$B95=$B34),$D6*C34,"error, yo")</f>
        <v>0</v>
      </c>
      <c r="D95" s="65">
        <f t="shared" ref="D95:F95" si="11">IF(AND($B95=$B6,$B95=$B34),$D6*D34,"error, yo")</f>
        <v>0</v>
      </c>
      <c r="E95" s="65">
        <f t="shared" si="11"/>
        <v>76.572000000000003</v>
      </c>
      <c r="F95" s="65">
        <f t="shared" si="11"/>
        <v>0</v>
      </c>
      <c r="G95" s="65">
        <f t="shared" ref="G95:H117" si="12">IF(AND($B95=$B6,$B95=$B34),$D6*G34,"error, yo")</f>
        <v>0</v>
      </c>
      <c r="H95" s="65">
        <f t="shared" si="12"/>
        <v>0</v>
      </c>
      <c r="I95" s="45">
        <f t="shared" ref="I95:I117" si="13">SUM(C95:H95)</f>
        <v>76.572000000000003</v>
      </c>
      <c r="J95" s="45"/>
    </row>
    <row r="96" spans="1:10" s="26" customFormat="1" ht="15" customHeight="1">
      <c r="A96" s="29">
        <f>MAX($A$5:A95)+1</f>
        <v>49</v>
      </c>
      <c r="B96" s="30" t="str">
        <f t="shared" si="10"/>
        <v>AMORT NONFED PNW AC INTERTIE</v>
      </c>
      <c r="C96" s="65">
        <f t="shared" ref="C96:F96" si="14">IF(AND($B96=$B7,$B96=$B35),$D7*C35,"error, yo")</f>
        <v>0</v>
      </c>
      <c r="D96" s="65">
        <f t="shared" si="14"/>
        <v>0</v>
      </c>
      <c r="E96" s="65">
        <f t="shared" si="14"/>
        <v>3493.3388399999999</v>
      </c>
      <c r="F96" s="65">
        <f t="shared" si="14"/>
        <v>0</v>
      </c>
      <c r="G96" s="65">
        <f t="shared" si="12"/>
        <v>0</v>
      </c>
      <c r="H96" s="65">
        <f t="shared" si="12"/>
        <v>0</v>
      </c>
      <c r="I96" s="45">
        <f t="shared" si="13"/>
        <v>3493.3388399999999</v>
      </c>
      <c r="J96" s="45"/>
    </row>
    <row r="97" spans="1:10" s="26" customFormat="1" ht="15" customHeight="1">
      <c r="A97" s="29">
        <f>MAX($A$5:A96)+1</f>
        <v>50</v>
      </c>
      <c r="B97" s="30" t="str">
        <f t="shared" si="10"/>
        <v>BPA EQUIPMENT USE</v>
      </c>
      <c r="C97" s="65">
        <f>IF(AND($B97=$B8,$B97=$B36),$D8*C36,"error, yo")</f>
        <v>2.7745321190133856</v>
      </c>
      <c r="D97" s="65">
        <f t="shared" ref="D97:F97" si="15">IF(AND($B97=$B8,$B97=$B36),$D8*D36,"error, yo")</f>
        <v>127.27936123661094</v>
      </c>
      <c r="E97" s="65">
        <f t="shared" si="15"/>
        <v>13.928714661750792</v>
      </c>
      <c r="F97" s="65">
        <f t="shared" si="15"/>
        <v>1.4150381494498339</v>
      </c>
      <c r="G97" s="65">
        <f t="shared" si="12"/>
        <v>0.11422223801598584</v>
      </c>
      <c r="H97" s="65">
        <f t="shared" si="12"/>
        <v>26.496131595159078</v>
      </c>
      <c r="I97" s="45">
        <f t="shared" si="13"/>
        <v>172.00800000000004</v>
      </c>
      <c r="J97" s="45"/>
    </row>
    <row r="98" spans="1:10" s="26" customFormat="1" ht="15" customHeight="1">
      <c r="A98" s="29">
        <f>MAX($A$5:A97)+1</f>
        <v>51</v>
      </c>
      <c r="B98" s="30" t="str">
        <f t="shared" si="10"/>
        <v>DSI DELIVERY CHARGE</v>
      </c>
      <c r="C98" s="65">
        <f t="shared" ref="C98:F98" si="16">IF(AND($B98=$B9,$B98=$B37),$D9*C37,"error, yo")</f>
        <v>0</v>
      </c>
      <c r="D98" s="65">
        <f t="shared" si="16"/>
        <v>0</v>
      </c>
      <c r="E98" s="65">
        <f t="shared" si="16"/>
        <v>0</v>
      </c>
      <c r="F98" s="65">
        <f t="shared" si="16"/>
        <v>0</v>
      </c>
      <c r="G98" s="65">
        <f t="shared" si="12"/>
        <v>2030.1</v>
      </c>
      <c r="H98" s="65">
        <f t="shared" si="12"/>
        <v>0</v>
      </c>
      <c r="I98" s="45">
        <f t="shared" si="13"/>
        <v>2030.1</v>
      </c>
      <c r="J98" s="45"/>
    </row>
    <row r="99" spans="1:10" s="26" customFormat="1" ht="15" customHeight="1">
      <c r="A99" s="29">
        <f>MAX($A$5:A98)+1</f>
        <v>52</v>
      </c>
      <c r="B99" s="30" t="str">
        <f t="shared" si="10"/>
        <v>FIBER LEASES</v>
      </c>
      <c r="C99" s="65">
        <f t="shared" ref="C99:F99" si="17">IF(AND($B99=$B10,$B99=$B38),$D10*C38,"error, yo")</f>
        <v>91.85999471366847</v>
      </c>
      <c r="D99" s="65">
        <f t="shared" si="17"/>
        <v>4214.0011176052894</v>
      </c>
      <c r="E99" s="65">
        <f>IF(AND($B99=$B10,$B99=$B38),$D10*E38,"error, yo")</f>
        <v>461.15582747393358</v>
      </c>
      <c r="F99" s="65">
        <f t="shared" si="17"/>
        <v>46.84948357142224</v>
      </c>
      <c r="G99" s="65">
        <f t="shared" si="12"/>
        <v>3.7817021862637228</v>
      </c>
      <c r="H99" s="65">
        <f t="shared" si="12"/>
        <v>877.24142444942242</v>
      </c>
      <c r="I99" s="45">
        <f t="shared" si="13"/>
        <v>5694.889549999999</v>
      </c>
      <c r="J99" s="45"/>
    </row>
    <row r="100" spans="1:10" s="26" customFormat="1" ht="15" customHeight="1">
      <c r="A100" s="29">
        <f>MAX($A$5:A99)+1</f>
        <v>53</v>
      </c>
      <c r="B100" s="30" t="str">
        <f t="shared" si="10"/>
        <v>FIBER OPERATIONS &amp; MAINTENANCE</v>
      </c>
      <c r="C100" s="65">
        <f t="shared" ref="C100:F100" si="18">IF(AND($B100=$B11,$B100=$B39),$D11*C39,"error, yo")</f>
        <v>14.644625024439538</v>
      </c>
      <c r="D100" s="65">
        <f t="shared" si="18"/>
        <v>671.81003452328741</v>
      </c>
      <c r="E100" s="65">
        <f t="shared" si="18"/>
        <v>73.518991507039559</v>
      </c>
      <c r="F100" s="65">
        <f t="shared" si="18"/>
        <v>7.4689000541606907</v>
      </c>
      <c r="G100" s="65">
        <f t="shared" si="12"/>
        <v>0.60289150510581102</v>
      </c>
      <c r="H100" s="65">
        <f t="shared" si="12"/>
        <v>139.85273738596706</v>
      </c>
      <c r="I100" s="45">
        <f t="shared" si="13"/>
        <v>907.89818000000014</v>
      </c>
      <c r="J100" s="45"/>
    </row>
    <row r="101" spans="1:10" s="26" customFormat="1" ht="15" customHeight="1">
      <c r="A101" s="29">
        <f>MAX($A$5:A100)+1</f>
        <v>54</v>
      </c>
      <c r="B101" s="30" t="str">
        <f t="shared" si="10"/>
        <v>LAND USE/LEASE/SALE</v>
      </c>
      <c r="C101" s="65">
        <f t="shared" ref="C101:F101" si="19">IF(AND($B101=$B12,$B101=$B40),$D12*C40,"error, yo")</f>
        <v>1.4214460602054357</v>
      </c>
      <c r="D101" s="65">
        <f t="shared" si="19"/>
        <v>65.207659819623885</v>
      </c>
      <c r="E101" s="65">
        <f t="shared" si="19"/>
        <v>7.135947875316643</v>
      </c>
      <c r="F101" s="65">
        <f t="shared" si="19"/>
        <v>0.72495120485074949</v>
      </c>
      <c r="G101" s="65">
        <f t="shared" si="12"/>
        <v>5.8518244969319566E-2</v>
      </c>
      <c r="H101" s="65">
        <f t="shared" si="12"/>
        <v>13.574476795033972</v>
      </c>
      <c r="I101" s="45">
        <f t="shared" si="13"/>
        <v>88.123000000000019</v>
      </c>
      <c r="J101" s="46"/>
    </row>
    <row r="102" spans="1:10" s="26" customFormat="1" ht="15" customHeight="1">
      <c r="A102" s="29">
        <f>MAX($A$5:A101)+1</f>
        <v>55</v>
      </c>
      <c r="B102" s="30" t="str">
        <f t="shared" si="10"/>
        <v>MISC LEASES</v>
      </c>
      <c r="C102" s="65">
        <f t="shared" ref="C102:F102" si="20">IF(AND($B102=$B13,$B102=$B41),$D13*C41,"error, yo")</f>
        <v>1.3546023023500366</v>
      </c>
      <c r="D102" s="65">
        <f t="shared" si="20"/>
        <v>62.141257832713301</v>
      </c>
      <c r="E102" s="65">
        <f t="shared" si="20"/>
        <v>6.8003786369190369</v>
      </c>
      <c r="F102" s="65">
        <f t="shared" si="20"/>
        <v>0.69086024343430297</v>
      </c>
      <c r="G102" s="65">
        <f t="shared" si="12"/>
        <v>5.5766413924610909E-2</v>
      </c>
      <c r="H102" s="65">
        <f t="shared" si="12"/>
        <v>12.936134570658714</v>
      </c>
      <c r="I102" s="45">
        <f t="shared" si="13"/>
        <v>83.978999999999999</v>
      </c>
      <c r="J102" s="46"/>
    </row>
    <row r="103" spans="1:10" s="26" customFormat="1" ht="15" customHeight="1">
      <c r="A103" s="29">
        <f>MAX($A$5:A102)+1</f>
        <v>56</v>
      </c>
      <c r="B103" s="30" t="str">
        <f t="shared" si="10"/>
        <v>MISC SERVICE FEES</v>
      </c>
      <c r="C103" s="65">
        <f t="shared" ref="C103:F103" si="21">IF(AND($B103=$B14,$B103=$B42),$D14*C42,"error, yo")</f>
        <v>19.564574331058807</v>
      </c>
      <c r="D103" s="65">
        <f t="shared" si="21"/>
        <v>897.50863097193303</v>
      </c>
      <c r="E103" s="65">
        <f t="shared" si="21"/>
        <v>98.218136120491351</v>
      </c>
      <c r="F103" s="65">
        <f t="shared" si="21"/>
        <v>9.9781216683264553</v>
      </c>
      <c r="G103" s="65">
        <f t="shared" si="12"/>
        <v>0.80543650967655811</v>
      </c>
      <c r="H103" s="65">
        <f t="shared" si="12"/>
        <v>186.83710039851394</v>
      </c>
      <c r="I103" s="45">
        <f t="shared" si="13"/>
        <v>1212.912</v>
      </c>
      <c r="J103" s="46"/>
    </row>
    <row r="104" spans="1:10" s="26" customFormat="1" ht="15" customHeight="1">
      <c r="A104" s="29">
        <f>MAX($A$5:A103)+1</f>
        <v>57</v>
      </c>
      <c r="B104" s="30" t="str">
        <f t="shared" si="10"/>
        <v>O&amp;M FEDERAL FACILITY</v>
      </c>
      <c r="C104" s="65">
        <f t="shared" ref="C104:F104" si="22">IF(AND($B104=$B15,$B104=$B43),$D15*C43,"error, yo")</f>
        <v>0</v>
      </c>
      <c r="D104" s="65">
        <f t="shared" si="22"/>
        <v>220.97200000000001</v>
      </c>
      <c r="E104" s="65">
        <f t="shared" si="22"/>
        <v>0</v>
      </c>
      <c r="F104" s="65">
        <f t="shared" si="22"/>
        <v>0</v>
      </c>
      <c r="G104" s="65">
        <f t="shared" si="12"/>
        <v>0</v>
      </c>
      <c r="H104" s="65">
        <f t="shared" si="12"/>
        <v>0</v>
      </c>
      <c r="I104" s="45">
        <f t="shared" si="13"/>
        <v>220.97200000000001</v>
      </c>
      <c r="J104" s="46"/>
    </row>
    <row r="105" spans="1:10" s="26" customFormat="1" ht="15" customHeight="1">
      <c r="A105" s="29">
        <f>MAX($A$5:A104)+1</f>
        <v>58</v>
      </c>
      <c r="B105" s="30" t="str">
        <f t="shared" si="10"/>
        <v>O&amp;M NON-FEDERAL FACILITY</v>
      </c>
      <c r="C105" s="65">
        <f t="shared" ref="C105:F105" si="23">IF(AND($B105=$B16,$B105=$B44),$D16*C44,"error, yo")</f>
        <v>0</v>
      </c>
      <c r="D105" s="65">
        <f t="shared" si="23"/>
        <v>417.108</v>
      </c>
      <c r="E105" s="65">
        <f t="shared" si="23"/>
        <v>0</v>
      </c>
      <c r="F105" s="65">
        <f t="shared" si="23"/>
        <v>0</v>
      </c>
      <c r="G105" s="65">
        <f t="shared" si="12"/>
        <v>0</v>
      </c>
      <c r="H105" s="65">
        <f t="shared" si="12"/>
        <v>0</v>
      </c>
      <c r="I105" s="45">
        <f t="shared" si="13"/>
        <v>417.108</v>
      </c>
      <c r="J105" s="46"/>
    </row>
    <row r="106" spans="1:10" s="26" customFormat="1" ht="15" customHeight="1">
      <c r="A106" s="29">
        <f>MAX($A$5:A105)+1</f>
        <v>59</v>
      </c>
      <c r="B106" s="30" t="str">
        <f t="shared" si="10"/>
        <v>PCS CONSTRUCTION</v>
      </c>
      <c r="C106" s="65">
        <f t="shared" ref="C106:F106" si="24">IF(AND($B106=$B17,$B106=$B45),$D17*C45,"error, yo")</f>
        <v>38.712601074555401</v>
      </c>
      <c r="D106" s="65">
        <f t="shared" si="24"/>
        <v>1775.9084866277512</v>
      </c>
      <c r="E106" s="65">
        <f t="shared" si="24"/>
        <v>194.34511876309185</v>
      </c>
      <c r="F106" s="65">
        <f t="shared" si="24"/>
        <v>19.743800048134975</v>
      </c>
      <c r="G106" s="65">
        <f t="shared" si="12"/>
        <v>1.5937245432675573</v>
      </c>
      <c r="H106" s="65">
        <f t="shared" si="12"/>
        <v>369.69626894319907</v>
      </c>
      <c r="I106" s="45">
        <f t="shared" si="13"/>
        <v>2400</v>
      </c>
      <c r="J106" s="46"/>
    </row>
    <row r="107" spans="1:10" s="26" customFormat="1" ht="15" customHeight="1">
      <c r="A107" s="29">
        <f>MAX($A$5:A106)+1</f>
        <v>60</v>
      </c>
      <c r="B107" s="30" t="str">
        <f t="shared" si="10"/>
        <v>PCS OPERATIONS &amp; MAINTENANCE</v>
      </c>
      <c r="C107" s="65">
        <f t="shared" ref="C107:F107" si="25">IF(AND($B107=$B18,$B107=$B46),$D18*C46,"error, yo")</f>
        <v>12.581595349230504</v>
      </c>
      <c r="D107" s="65">
        <f t="shared" si="25"/>
        <v>577.17025815401917</v>
      </c>
      <c r="E107" s="65">
        <f t="shared" si="25"/>
        <v>63.162163598004845</v>
      </c>
      <c r="F107" s="65">
        <f t="shared" si="25"/>
        <v>6.4167350156438676</v>
      </c>
      <c r="G107" s="65">
        <f t="shared" si="12"/>
        <v>0.5179604765619561</v>
      </c>
      <c r="H107" s="65">
        <f t="shared" si="12"/>
        <v>120.15128740653969</v>
      </c>
      <c r="I107" s="45">
        <f t="shared" si="13"/>
        <v>780.00000000000011</v>
      </c>
      <c r="J107" s="46"/>
    </row>
    <row r="108" spans="1:10" s="26" customFormat="1" ht="15" customHeight="1">
      <c r="A108" s="29">
        <f>MAX($A$5:A107)+1</f>
        <v>61</v>
      </c>
      <c r="B108" s="30" t="str">
        <f t="shared" si="10"/>
        <v>PCS WIRELESS LEASES</v>
      </c>
      <c r="C108" s="65">
        <f t="shared" ref="C108:F108" si="26">IF(AND($B108=$B19,$B108=$B47),$D19*C47,"error, yo")</f>
        <v>108.92274219839594</v>
      </c>
      <c r="D108" s="65">
        <f t="shared" si="26"/>
        <v>4996.7405156880068</v>
      </c>
      <c r="E108" s="65">
        <f t="shared" si="26"/>
        <v>546.81428477980421</v>
      </c>
      <c r="F108" s="65">
        <f t="shared" si="26"/>
        <v>55.551649410433775</v>
      </c>
      <c r="G108" s="65">
        <f t="shared" si="12"/>
        <v>4.4841432180511802</v>
      </c>
      <c r="H108" s="65">
        <f t="shared" si="12"/>
        <v>1040.1866647053084</v>
      </c>
      <c r="I108" s="45">
        <f t="shared" si="13"/>
        <v>6752.7000000000007</v>
      </c>
      <c r="J108" s="46"/>
    </row>
    <row r="109" spans="1:10" s="26" customFormat="1" ht="15" customHeight="1">
      <c r="A109" s="29">
        <f>MAX($A$5:A108)+1</f>
        <v>62</v>
      </c>
      <c r="B109" s="30" t="str">
        <f t="shared" si="10"/>
        <v>PTP RESERVATION FEE</v>
      </c>
      <c r="C109" s="65">
        <f t="shared" ref="C109:F109" si="27">IF(AND($B109=$B20,$B109=$B48),$D20*C48,"error, yo")</f>
        <v>0</v>
      </c>
      <c r="D109" s="65">
        <f t="shared" si="27"/>
        <v>3724.48</v>
      </c>
      <c r="E109" s="65">
        <f t="shared" si="27"/>
        <v>0</v>
      </c>
      <c r="F109" s="65">
        <f t="shared" si="27"/>
        <v>0</v>
      </c>
      <c r="G109" s="65">
        <f t="shared" si="12"/>
        <v>0</v>
      </c>
      <c r="H109" s="65">
        <f t="shared" si="12"/>
        <v>0</v>
      </c>
      <c r="I109" s="45">
        <f t="shared" si="13"/>
        <v>3724.48</v>
      </c>
      <c r="J109" s="46"/>
    </row>
    <row r="110" spans="1:10" s="26" customFormat="1" ht="15" customHeight="1">
      <c r="A110" s="29">
        <f>MAX($A$5:A109)+1</f>
        <v>63</v>
      </c>
      <c r="B110" s="30" t="str">
        <f t="shared" si="10"/>
        <v>RIGHT-OF-WAY LEASE</v>
      </c>
      <c r="C110" s="65">
        <f t="shared" ref="C110:F110" si="28">IF(AND($B110=$B21,$B110=$B49),$D21*C49,"error, yo")</f>
        <v>1.2775158354603282</v>
      </c>
      <c r="D110" s="65">
        <f t="shared" si="28"/>
        <v>58.604980058715796</v>
      </c>
      <c r="E110" s="65">
        <f t="shared" si="28"/>
        <v>6.4133889191820312</v>
      </c>
      <c r="F110" s="65">
        <f t="shared" si="28"/>
        <v>0.65154540158845431</v>
      </c>
      <c r="G110" s="65">
        <f t="shared" si="12"/>
        <v>5.259290992782939E-2</v>
      </c>
      <c r="H110" s="65">
        <f t="shared" si="12"/>
        <v>12.19997687512557</v>
      </c>
      <c r="I110" s="45">
        <f t="shared" si="13"/>
        <v>79.2</v>
      </c>
      <c r="J110" s="46"/>
    </row>
    <row r="111" spans="1:10" s="26" customFormat="1" ht="15" customHeight="1">
      <c r="A111" s="29">
        <f>MAX($A$5:A110)+1</f>
        <v>64</v>
      </c>
      <c r="B111" s="30" t="str">
        <f t="shared" si="10"/>
        <v>SINT AC NON FEDERAL O&amp;M</v>
      </c>
      <c r="C111" s="65">
        <f t="shared" ref="C111:F111" si="29">IF(AND($B111=$B22,$B111=$B50),$D22*C50,"error, yo")</f>
        <v>0</v>
      </c>
      <c r="D111" s="65">
        <f t="shared" si="29"/>
        <v>0</v>
      </c>
      <c r="E111" s="65">
        <f t="shared" si="29"/>
        <v>2209.8000000000002</v>
      </c>
      <c r="F111" s="65">
        <f t="shared" si="29"/>
        <v>0</v>
      </c>
      <c r="G111" s="65">
        <f t="shared" si="12"/>
        <v>0</v>
      </c>
      <c r="H111" s="65">
        <f t="shared" si="12"/>
        <v>0</v>
      </c>
      <c r="I111" s="45">
        <f t="shared" si="13"/>
        <v>2209.8000000000002</v>
      </c>
      <c r="J111" s="46"/>
    </row>
    <row r="112" spans="1:10" s="26" customFormat="1" ht="15" customHeight="1">
      <c r="A112" s="29">
        <f>MAX($A$5:A111)+1</f>
        <v>65</v>
      </c>
      <c r="B112" s="30" t="str">
        <f t="shared" si="10"/>
        <v>TRANSMISSION OPERATOR SERVICES</v>
      </c>
      <c r="C112" s="65">
        <f t="shared" ref="C112:F113" si="30">IF(AND($B112=$B23,$B112=$B51),$D23*C51,"error, yo")</f>
        <v>0</v>
      </c>
      <c r="D112" s="65">
        <f>IF(AND($B112=$B23,$B112=$B51),$D23*D52,"error, yo")</f>
        <v>900</v>
      </c>
      <c r="E112" s="65">
        <f t="shared" si="30"/>
        <v>0</v>
      </c>
      <c r="F112" s="65">
        <f t="shared" si="30"/>
        <v>0</v>
      </c>
      <c r="G112" s="65">
        <f t="shared" si="12"/>
        <v>0</v>
      </c>
      <c r="H112" s="65">
        <f t="shared" si="12"/>
        <v>0</v>
      </c>
      <c r="I112" s="45">
        <f t="shared" si="13"/>
        <v>900</v>
      </c>
      <c r="J112" s="46"/>
    </row>
    <row r="113" spans="1:10" s="26" customFormat="1" ht="15" customHeight="1">
      <c r="A113" s="29">
        <f>MAX($A$5:A112)+1</f>
        <v>66</v>
      </c>
      <c r="B113" s="30" t="str">
        <f t="shared" si="10"/>
        <v>TRANSMISSION PLANNER CFR SERV</v>
      </c>
      <c r="C113" s="65">
        <f t="shared" si="30"/>
        <v>0</v>
      </c>
      <c r="D113" s="65">
        <f>IF(AND($B113=$B24,$B113=$B52),$D24*D53,"error, yo")</f>
        <v>269.35752000000002</v>
      </c>
      <c r="E113" s="65">
        <f t="shared" si="30"/>
        <v>0</v>
      </c>
      <c r="F113" s="65">
        <f t="shared" si="30"/>
        <v>0</v>
      </c>
      <c r="G113" s="65">
        <f t="shared" si="12"/>
        <v>0</v>
      </c>
      <c r="H113" s="65">
        <f t="shared" si="12"/>
        <v>0</v>
      </c>
      <c r="I113" s="45">
        <f t="shared" si="13"/>
        <v>269.35752000000002</v>
      </c>
      <c r="J113" s="46"/>
    </row>
    <row r="114" spans="1:10" s="26" customFormat="1" ht="15" customHeight="1">
      <c r="A114" s="29">
        <f>MAX($A$5:A113)+1</f>
        <v>67</v>
      </c>
      <c r="B114" s="30" t="str">
        <f t="shared" si="10"/>
        <v>TRANSMISSION PROCESSING FEE</v>
      </c>
      <c r="C114" s="65">
        <f t="shared" ref="C114:F114" si="31">IF(AND($B114=$B25,$B114=$B53),$D25*C53,"error, yo")</f>
        <v>0</v>
      </c>
      <c r="D114" s="65">
        <f t="shared" si="31"/>
        <v>39.6</v>
      </c>
      <c r="E114" s="65">
        <f t="shared" si="31"/>
        <v>0</v>
      </c>
      <c r="F114" s="65">
        <f t="shared" si="31"/>
        <v>0</v>
      </c>
      <c r="G114" s="65">
        <f t="shared" si="12"/>
        <v>0</v>
      </c>
      <c r="H114" s="65">
        <f t="shared" si="12"/>
        <v>0</v>
      </c>
      <c r="I114" s="45">
        <f t="shared" si="13"/>
        <v>39.6</v>
      </c>
      <c r="J114" s="46"/>
    </row>
    <row r="115" spans="1:10" s="26" customFormat="1" ht="15" customHeight="1">
      <c r="A115" s="29">
        <f>MAX($A$5:A114)+1</f>
        <v>68</v>
      </c>
      <c r="B115" s="30" t="str">
        <f t="shared" si="10"/>
        <v>TS SHARE OF RES ENRGY/WHLG-COE</v>
      </c>
      <c r="C115" s="65">
        <f t="shared" ref="C115:F115" si="32">IF(AND($B115=$B26,$B115=$B54),$D26*C54,"error, yo")</f>
        <v>0</v>
      </c>
      <c r="D115" s="65">
        <f t="shared" si="32"/>
        <v>245.697</v>
      </c>
      <c r="E115" s="65">
        <f t="shared" si="32"/>
        <v>0</v>
      </c>
      <c r="F115" s="65">
        <f t="shared" si="32"/>
        <v>0</v>
      </c>
      <c r="G115" s="65">
        <f t="shared" si="12"/>
        <v>0</v>
      </c>
      <c r="H115" s="65">
        <f t="shared" si="12"/>
        <v>0</v>
      </c>
      <c r="I115" s="45">
        <f t="shared" si="13"/>
        <v>245.697</v>
      </c>
      <c r="J115" s="46"/>
    </row>
    <row r="116" spans="1:10" s="26" customFormat="1" ht="15" customHeight="1">
      <c r="A116" s="29">
        <f>MAX($A$5:A115)+1</f>
        <v>69</v>
      </c>
      <c r="B116" s="30" t="str">
        <f t="shared" si="10"/>
        <v>UFT FIXED DOLLAR AMOUNT</v>
      </c>
      <c r="C116" s="65">
        <f t="shared" ref="C116:F116" si="33">IF(AND($B116=$B27,$B116=$B55),$D27*C55,"error, yo")</f>
        <v>0</v>
      </c>
      <c r="D116" s="65">
        <f t="shared" si="33"/>
        <v>1085.5535185235015</v>
      </c>
      <c r="E116" s="65">
        <f t="shared" si="33"/>
        <v>1695.3060479427916</v>
      </c>
      <c r="F116" s="65">
        <f t="shared" si="33"/>
        <v>648.72843353370718</v>
      </c>
      <c r="G116" s="65">
        <f t="shared" si="12"/>
        <v>0</v>
      </c>
      <c r="H116" s="65">
        <f t="shared" si="12"/>
        <v>0</v>
      </c>
      <c r="I116" s="45">
        <f t="shared" si="13"/>
        <v>3429.5880000000002</v>
      </c>
      <c r="J116" s="46"/>
    </row>
    <row r="117" spans="1:10" s="26" customFormat="1" ht="15" customHeight="1">
      <c r="A117" s="29">
        <f>MAX($A$5:A116)+1</f>
        <v>70</v>
      </c>
      <c r="B117" s="293" t="str">
        <f t="shared" si="10"/>
        <v>UFT VARIABLE SERVICE AMT</v>
      </c>
      <c r="C117" s="65">
        <f t="shared" ref="C117:F117" si="34">IF(AND($B117=$B28,$B117=$B56),$D28*C56,"error, yo")</f>
        <v>0</v>
      </c>
      <c r="D117" s="65">
        <f t="shared" si="34"/>
        <v>76.889211912817174</v>
      </c>
      <c r="E117" s="65">
        <f t="shared" si="34"/>
        <v>120.07767811820869</v>
      </c>
      <c r="F117" s="65">
        <f t="shared" si="34"/>
        <v>45.949109968974113</v>
      </c>
      <c r="G117" s="65">
        <f t="shared" si="12"/>
        <v>0</v>
      </c>
      <c r="H117" s="65">
        <f t="shared" si="12"/>
        <v>0</v>
      </c>
      <c r="I117" s="45">
        <f t="shared" si="13"/>
        <v>242.91599999999997</v>
      </c>
      <c r="J117" s="46"/>
    </row>
    <row r="118" spans="1:10" s="26" customFormat="1" ht="15" customHeight="1">
      <c r="A118" s="29">
        <f>MAX($A$5:A117)+1</f>
        <v>71</v>
      </c>
      <c r="B118" s="33" t="s">
        <v>455</v>
      </c>
      <c r="C118" s="79">
        <f t="shared" ref="C118:I118" si="35">SUM(C95:C117)</f>
        <v>293.11422900837783</v>
      </c>
      <c r="D118" s="79">
        <f t="shared" si="35"/>
        <v>20426.029552954275</v>
      </c>
      <c r="E118" s="79">
        <f t="shared" si="35"/>
        <v>9066.5875183965327</v>
      </c>
      <c r="F118" s="79">
        <f t="shared" si="35"/>
        <v>844.16862827012665</v>
      </c>
      <c r="G118" s="79">
        <f t="shared" si="35"/>
        <v>2042.1669582457648</v>
      </c>
      <c r="H118" s="79">
        <f t="shared" si="35"/>
        <v>2799.1722031249283</v>
      </c>
      <c r="I118" s="79">
        <f t="shared" si="35"/>
        <v>35471.239089999995</v>
      </c>
      <c r="J118" s="48"/>
    </row>
    <row r="119" spans="1:10" s="26" customFormat="1" ht="15" customHeight="1">
      <c r="A119" s="29"/>
      <c r="B119" s="33"/>
      <c r="C119" s="47"/>
      <c r="D119" s="47"/>
      <c r="E119" s="47"/>
      <c r="F119" s="47"/>
      <c r="G119" s="47"/>
      <c r="H119" s="47"/>
      <c r="I119" s="48"/>
      <c r="J119" s="48"/>
    </row>
    <row r="120" spans="1:10" s="26" customFormat="1" ht="15" customHeight="1">
      <c r="A120" s="29"/>
      <c r="B120" s="36" t="s">
        <v>0</v>
      </c>
      <c r="C120" s="49" t="s">
        <v>1</v>
      </c>
      <c r="D120" s="42" t="s">
        <v>2</v>
      </c>
      <c r="E120" s="42" t="s">
        <v>3</v>
      </c>
      <c r="F120" s="42" t="s">
        <v>4</v>
      </c>
      <c r="G120" s="42" t="s">
        <v>6</v>
      </c>
      <c r="H120" s="42" t="s">
        <v>7</v>
      </c>
      <c r="I120" s="145" t="s">
        <v>32</v>
      </c>
      <c r="J120" s="145"/>
    </row>
    <row r="121" spans="1:10" s="26" customFormat="1" ht="15" customHeight="1">
      <c r="A121" s="29"/>
      <c r="B121" s="538" t="s">
        <v>456</v>
      </c>
      <c r="C121" s="530" t="s">
        <v>303</v>
      </c>
      <c r="D121" s="532" t="s">
        <v>13</v>
      </c>
      <c r="E121" s="532" t="s">
        <v>10</v>
      </c>
      <c r="F121" s="533"/>
      <c r="G121" s="145" t="s">
        <v>9</v>
      </c>
      <c r="H121" s="528" t="s">
        <v>304</v>
      </c>
      <c r="I121" s="528" t="s">
        <v>12</v>
      </c>
      <c r="J121" s="43"/>
    </row>
    <row r="122" spans="1:10" s="26" customFormat="1" ht="15" customHeight="1">
      <c r="A122" s="29"/>
      <c r="B122" s="539"/>
      <c r="C122" s="531"/>
      <c r="D122" s="540"/>
      <c r="E122" s="18" t="s">
        <v>14</v>
      </c>
      <c r="F122" s="18" t="s">
        <v>15</v>
      </c>
      <c r="G122" s="18" t="s">
        <v>20</v>
      </c>
      <c r="H122" s="529"/>
      <c r="I122" s="529"/>
      <c r="J122" s="145"/>
    </row>
    <row r="123" spans="1:10" s="26" customFormat="1" ht="15" customHeight="1">
      <c r="A123" s="29">
        <f>MAX($A$5:A122)+1</f>
        <v>72</v>
      </c>
      <c r="B123" s="30" t="str">
        <f t="shared" ref="B123:B145" si="36">B6</f>
        <v>3RD AC RAS GENERATION DROPPING</v>
      </c>
      <c r="C123" s="65">
        <f>IF(AND($B123=$B6,$B123=$B34),$E6*C34,"error, yo")</f>
        <v>0</v>
      </c>
      <c r="D123" s="65">
        <f t="shared" ref="D123:F123" si="37">IF(AND($B123=$B6,$B123=$B34),$E6*D34,"error, yo")</f>
        <v>0</v>
      </c>
      <c r="E123" s="65">
        <f t="shared" si="37"/>
        <v>76.572000000000003</v>
      </c>
      <c r="F123" s="65">
        <f t="shared" si="37"/>
        <v>0</v>
      </c>
      <c r="G123" s="65">
        <f t="shared" ref="G123:H145" si="38">IF(AND($B123=$B6,$B123=$B34),$E6*G34,"error, yo")</f>
        <v>0</v>
      </c>
      <c r="H123" s="65">
        <f t="shared" si="38"/>
        <v>0</v>
      </c>
      <c r="I123" s="45">
        <f t="shared" ref="I123:I145" si="39">SUM(C123:H123)</f>
        <v>76.572000000000003</v>
      </c>
      <c r="J123" s="46"/>
    </row>
    <row r="124" spans="1:10" s="26" customFormat="1" ht="15" customHeight="1">
      <c r="A124" s="29">
        <f>MAX($A$5:A123)+1</f>
        <v>73</v>
      </c>
      <c r="B124" s="30" t="str">
        <f t="shared" si="36"/>
        <v>AMORT NONFED PNW AC INTERTIE</v>
      </c>
      <c r="C124" s="65">
        <f t="shared" ref="C124:F124" si="40">IF(AND($B124=$B7,$B124=$B35),$E7*C35,"error, yo")</f>
        <v>0</v>
      </c>
      <c r="D124" s="65">
        <f t="shared" si="40"/>
        <v>0</v>
      </c>
      <c r="E124" s="65">
        <f t="shared" si="40"/>
        <v>3493.3388399999999</v>
      </c>
      <c r="F124" s="65">
        <f t="shared" si="40"/>
        <v>0</v>
      </c>
      <c r="G124" s="65">
        <f t="shared" si="38"/>
        <v>0</v>
      </c>
      <c r="H124" s="65">
        <f t="shared" si="38"/>
        <v>0</v>
      </c>
      <c r="I124" s="45">
        <f t="shared" si="39"/>
        <v>3493.3388399999999</v>
      </c>
      <c r="J124" s="46"/>
    </row>
    <row r="125" spans="1:10" s="26" customFormat="1" ht="15" customHeight="1">
      <c r="A125" s="29">
        <f>MAX($A$5:A124)+1</f>
        <v>74</v>
      </c>
      <c r="B125" s="30" t="str">
        <f t="shared" si="36"/>
        <v>BPA EQUIPMENT USE</v>
      </c>
      <c r="C125" s="65">
        <f t="shared" ref="C125:F125" si="41">IF(AND($B125=$B8,$B125=$B36),$E8*C36,"error, yo")</f>
        <v>2.7745321190133856</v>
      </c>
      <c r="D125" s="65">
        <f t="shared" si="41"/>
        <v>127.27936123661094</v>
      </c>
      <c r="E125" s="65">
        <f t="shared" si="41"/>
        <v>13.928714661750792</v>
      </c>
      <c r="F125" s="65">
        <f t="shared" si="41"/>
        <v>1.4150381494498339</v>
      </c>
      <c r="G125" s="65">
        <f t="shared" si="38"/>
        <v>0.11422223801598584</v>
      </c>
      <c r="H125" s="65">
        <f t="shared" si="38"/>
        <v>26.496131595159078</v>
      </c>
      <c r="I125" s="45">
        <f t="shared" si="39"/>
        <v>172.00800000000004</v>
      </c>
      <c r="J125" s="46"/>
    </row>
    <row r="126" spans="1:10" s="26" customFormat="1" ht="15" customHeight="1">
      <c r="A126" s="29">
        <f>MAX($A$5:A125)+1</f>
        <v>75</v>
      </c>
      <c r="B126" s="30" t="str">
        <f t="shared" si="36"/>
        <v>DSI DELIVERY CHARGE</v>
      </c>
      <c r="C126" s="65">
        <f t="shared" ref="C126:F126" si="42">IF(AND($B126=$B9,$B126=$B37),$E9*C37,"error, yo")</f>
        <v>0</v>
      </c>
      <c r="D126" s="65">
        <f t="shared" si="42"/>
        <v>0</v>
      </c>
      <c r="E126" s="65">
        <f t="shared" si="42"/>
        <v>0</v>
      </c>
      <c r="F126" s="65">
        <f t="shared" si="42"/>
        <v>0</v>
      </c>
      <c r="G126" s="65">
        <f t="shared" si="38"/>
        <v>384.20400000000001</v>
      </c>
      <c r="H126" s="65">
        <f t="shared" si="38"/>
        <v>0</v>
      </c>
      <c r="I126" s="45">
        <f t="shared" si="39"/>
        <v>384.20400000000001</v>
      </c>
      <c r="J126" s="46"/>
    </row>
    <row r="127" spans="1:10" s="26" customFormat="1" ht="15" customHeight="1">
      <c r="A127" s="29">
        <f>MAX($A$5:A126)+1</f>
        <v>76</v>
      </c>
      <c r="B127" s="30" t="str">
        <f t="shared" si="36"/>
        <v>FIBER LEASES</v>
      </c>
      <c r="C127" s="65">
        <f t="shared" ref="C127:F127" si="43">IF(AND($B127=$B10,$B127=$B38),$E10*C38,"error, yo")</f>
        <v>81.865070360309346</v>
      </c>
      <c r="D127" s="65">
        <f t="shared" si="43"/>
        <v>3755.4922473759671</v>
      </c>
      <c r="E127" s="65">
        <f t="shared" si="43"/>
        <v>410.97927755054394</v>
      </c>
      <c r="F127" s="65">
        <f t="shared" si="43"/>
        <v>41.751975719937121</v>
      </c>
      <c r="G127" s="65">
        <f t="shared" si="38"/>
        <v>3.3702300607050812</v>
      </c>
      <c r="H127" s="65">
        <f t="shared" si="38"/>
        <v>781.79223893253788</v>
      </c>
      <c r="I127" s="45">
        <f t="shared" si="39"/>
        <v>5075.2510400000001</v>
      </c>
      <c r="J127" s="46"/>
    </row>
    <row r="128" spans="1:10" s="26" customFormat="1" ht="15" customHeight="1">
      <c r="A128" s="29">
        <f>MAX($A$5:A127)+1</f>
        <v>77</v>
      </c>
      <c r="B128" s="30" t="str">
        <f t="shared" si="36"/>
        <v>FIBER OPERATIONS &amp; MAINTENANCE</v>
      </c>
      <c r="C128" s="65">
        <f t="shared" ref="C128:F128" si="44">IF(AND($B128=$B11,$B128=$B39),$E11*C39,"error, yo")</f>
        <v>13.107029224625105</v>
      </c>
      <c r="D128" s="65">
        <f t="shared" si="44"/>
        <v>601.27410167199685</v>
      </c>
      <c r="E128" s="65">
        <f t="shared" si="44"/>
        <v>65.799948352355344</v>
      </c>
      <c r="F128" s="65">
        <f t="shared" si="44"/>
        <v>6.6847113614938545</v>
      </c>
      <c r="G128" s="65">
        <f t="shared" si="38"/>
        <v>0.53959159510828791</v>
      </c>
      <c r="H128" s="65">
        <f t="shared" si="38"/>
        <v>125.16905779442057</v>
      </c>
      <c r="I128" s="45">
        <f t="shared" si="39"/>
        <v>812.5744400000001</v>
      </c>
      <c r="J128" s="46"/>
    </row>
    <row r="129" spans="1:10" s="26" customFormat="1" ht="15" customHeight="1">
      <c r="A129" s="29">
        <f>MAX($A$5:A128)+1</f>
        <v>78</v>
      </c>
      <c r="B129" s="30" t="str">
        <f t="shared" si="36"/>
        <v>LAND USE/LEASE/SALE</v>
      </c>
      <c r="C129" s="65">
        <f t="shared" ref="C129:F129" si="45">IF(AND($B129=$B12,$B129=$B40),$E12*C40,"error, yo")</f>
        <v>1.4214460602054357</v>
      </c>
      <c r="D129" s="65">
        <f t="shared" si="45"/>
        <v>65.207659819623885</v>
      </c>
      <c r="E129" s="65">
        <f t="shared" si="45"/>
        <v>7.135947875316643</v>
      </c>
      <c r="F129" s="65">
        <f t="shared" si="45"/>
        <v>0.72495120485074949</v>
      </c>
      <c r="G129" s="65">
        <f t="shared" si="38"/>
        <v>5.8518244969319566E-2</v>
      </c>
      <c r="H129" s="65">
        <f t="shared" si="38"/>
        <v>13.574476795033972</v>
      </c>
      <c r="I129" s="45">
        <f t="shared" si="39"/>
        <v>88.123000000000019</v>
      </c>
      <c r="J129" s="46"/>
    </row>
    <row r="130" spans="1:10" s="26" customFormat="1" ht="15" customHeight="1">
      <c r="A130" s="29">
        <f>MAX($A$5:A129)+1</f>
        <v>79</v>
      </c>
      <c r="B130" s="30" t="str">
        <f t="shared" si="36"/>
        <v>MISC LEASES</v>
      </c>
      <c r="C130" s="65">
        <f t="shared" ref="C130:F130" si="46">IF(AND($B130=$B13,$B130=$B41),$E13*C41,"error, yo")</f>
        <v>1.3546023023500366</v>
      </c>
      <c r="D130" s="65">
        <f t="shared" si="46"/>
        <v>62.141257832713301</v>
      </c>
      <c r="E130" s="65">
        <f t="shared" si="46"/>
        <v>6.8003786369190369</v>
      </c>
      <c r="F130" s="65">
        <f t="shared" si="46"/>
        <v>0.69086024343430297</v>
      </c>
      <c r="G130" s="65">
        <f t="shared" si="38"/>
        <v>5.5766413924610909E-2</v>
      </c>
      <c r="H130" s="65">
        <f t="shared" si="38"/>
        <v>12.936134570658714</v>
      </c>
      <c r="I130" s="45">
        <f t="shared" si="39"/>
        <v>83.978999999999999</v>
      </c>
      <c r="J130" s="46"/>
    </row>
    <row r="131" spans="1:10" s="26" customFormat="1" ht="15" customHeight="1">
      <c r="A131" s="29">
        <f>MAX($A$5:A130)+1</f>
        <v>80</v>
      </c>
      <c r="B131" s="30" t="str">
        <f t="shared" si="36"/>
        <v>MISC SERVICE FEES</v>
      </c>
      <c r="C131" s="65">
        <f t="shared" ref="C131:F131" si="47">IF(AND($B131=$B14,$B131=$B42),$E14*C42,"error, yo")</f>
        <v>19.564574331058807</v>
      </c>
      <c r="D131" s="65">
        <f t="shared" si="47"/>
        <v>897.50863097193303</v>
      </c>
      <c r="E131" s="65">
        <f t="shared" si="47"/>
        <v>98.218136120491351</v>
      </c>
      <c r="F131" s="65">
        <f t="shared" si="47"/>
        <v>9.9781216683264553</v>
      </c>
      <c r="G131" s="65">
        <f t="shared" si="38"/>
        <v>0.80543650967655811</v>
      </c>
      <c r="H131" s="65">
        <f t="shared" si="38"/>
        <v>186.83710039851394</v>
      </c>
      <c r="I131" s="45">
        <f t="shared" si="39"/>
        <v>1212.912</v>
      </c>
      <c r="J131" s="46"/>
    </row>
    <row r="132" spans="1:10" s="26" customFormat="1" ht="15" customHeight="1">
      <c r="A132" s="29">
        <f>MAX($A$5:A131)+1</f>
        <v>81</v>
      </c>
      <c r="B132" s="30" t="str">
        <f t="shared" si="36"/>
        <v>O&amp;M FEDERAL FACILITY</v>
      </c>
      <c r="C132" s="65">
        <f t="shared" ref="C132:F132" si="48">IF(AND($B132=$B15,$B132=$B43),$E15*C43,"error, yo")</f>
        <v>0</v>
      </c>
      <c r="D132" s="65">
        <f t="shared" si="48"/>
        <v>220.97200000000001</v>
      </c>
      <c r="E132" s="65">
        <f t="shared" si="48"/>
        <v>0</v>
      </c>
      <c r="F132" s="65">
        <f t="shared" si="48"/>
        <v>0</v>
      </c>
      <c r="G132" s="65">
        <f t="shared" si="38"/>
        <v>0</v>
      </c>
      <c r="H132" s="65">
        <f t="shared" si="38"/>
        <v>0</v>
      </c>
      <c r="I132" s="45">
        <f t="shared" si="39"/>
        <v>220.97200000000001</v>
      </c>
      <c r="J132" s="46"/>
    </row>
    <row r="133" spans="1:10" s="26" customFormat="1" ht="15" customHeight="1">
      <c r="A133" s="29">
        <f>MAX($A$5:A132)+1</f>
        <v>82</v>
      </c>
      <c r="B133" s="30" t="str">
        <f t="shared" si="36"/>
        <v>O&amp;M NON-FEDERAL FACILITY</v>
      </c>
      <c r="C133" s="65">
        <f t="shared" ref="C133:F133" si="49">IF(AND($B133=$B16,$B133=$B44),$E16*C44,"error, yo")</f>
        <v>0</v>
      </c>
      <c r="D133" s="65">
        <f t="shared" si="49"/>
        <v>417.108</v>
      </c>
      <c r="E133" s="65">
        <f t="shared" si="49"/>
        <v>0</v>
      </c>
      <c r="F133" s="65">
        <f t="shared" si="49"/>
        <v>0</v>
      </c>
      <c r="G133" s="65">
        <f t="shared" si="38"/>
        <v>0</v>
      </c>
      <c r="H133" s="65">
        <f t="shared" si="38"/>
        <v>0</v>
      </c>
      <c r="I133" s="45">
        <f t="shared" si="39"/>
        <v>417.108</v>
      </c>
      <c r="J133" s="46"/>
    </row>
    <row r="134" spans="1:10" s="26" customFormat="1" ht="15" customHeight="1">
      <c r="A134" s="29">
        <f>MAX($A$5:A133)+1</f>
        <v>83</v>
      </c>
      <c r="B134" s="30" t="str">
        <f t="shared" si="36"/>
        <v>PCS CONSTRUCTION</v>
      </c>
      <c r="C134" s="65">
        <f t="shared" ref="C134:F134" si="50">IF(AND($B134=$B17,$B134=$B45),$E17*C45,"error, yo")</f>
        <v>38.712601074555401</v>
      </c>
      <c r="D134" s="65">
        <f t="shared" si="50"/>
        <v>1775.9084866277512</v>
      </c>
      <c r="E134" s="65">
        <f t="shared" si="50"/>
        <v>194.34511876309185</v>
      </c>
      <c r="F134" s="65">
        <f t="shared" si="50"/>
        <v>19.743800048134975</v>
      </c>
      <c r="G134" s="65">
        <f t="shared" si="38"/>
        <v>1.5937245432675573</v>
      </c>
      <c r="H134" s="65">
        <f t="shared" si="38"/>
        <v>369.69626894319907</v>
      </c>
      <c r="I134" s="45">
        <f t="shared" si="39"/>
        <v>2400</v>
      </c>
      <c r="J134" s="46"/>
    </row>
    <row r="135" spans="1:10" s="26" customFormat="1" ht="15" customHeight="1">
      <c r="A135" s="29">
        <f>MAX($A$5:A134)+1</f>
        <v>84</v>
      </c>
      <c r="B135" s="30" t="str">
        <f t="shared" si="36"/>
        <v>PCS OPERATIONS &amp; MAINTENANCE</v>
      </c>
      <c r="C135" s="65">
        <f t="shared" ref="C135:F135" si="51">IF(AND($B135=$B18,$B135=$B46),$E18*C46,"error, yo")</f>
        <v>12.581595349230504</v>
      </c>
      <c r="D135" s="65">
        <f t="shared" si="51"/>
        <v>577.17025815401917</v>
      </c>
      <c r="E135" s="65">
        <f t="shared" si="51"/>
        <v>63.162163598004845</v>
      </c>
      <c r="F135" s="65">
        <f t="shared" si="51"/>
        <v>6.4167350156438676</v>
      </c>
      <c r="G135" s="65">
        <f t="shared" si="38"/>
        <v>0.5179604765619561</v>
      </c>
      <c r="H135" s="65">
        <f t="shared" si="38"/>
        <v>120.15128740653969</v>
      </c>
      <c r="I135" s="45">
        <f t="shared" si="39"/>
        <v>780.00000000000011</v>
      </c>
      <c r="J135" s="46"/>
    </row>
    <row r="136" spans="1:10" s="26" customFormat="1" ht="15" customHeight="1">
      <c r="A136" s="29">
        <f>MAX($A$5:A135)+1</f>
        <v>85</v>
      </c>
      <c r="B136" s="30" t="str">
        <f t="shared" si="36"/>
        <v>PCS WIRELESS LEASES</v>
      </c>
      <c r="C136" s="65">
        <f t="shared" ref="C136:F136" si="52">IF(AND($B136=$B19,$B136=$B47),$E19*C47,"error, yo")</f>
        <v>108.92274219839594</v>
      </c>
      <c r="D136" s="65">
        <f t="shared" si="52"/>
        <v>4996.7405156880068</v>
      </c>
      <c r="E136" s="65">
        <f t="shared" si="52"/>
        <v>546.81428477980421</v>
      </c>
      <c r="F136" s="65">
        <f t="shared" si="52"/>
        <v>55.551649410433775</v>
      </c>
      <c r="G136" s="65">
        <f t="shared" si="38"/>
        <v>4.4841432180511802</v>
      </c>
      <c r="H136" s="65">
        <f t="shared" si="38"/>
        <v>1040.1866647053084</v>
      </c>
      <c r="I136" s="45">
        <f t="shared" si="39"/>
        <v>6752.7000000000007</v>
      </c>
      <c r="J136" s="46"/>
    </row>
    <row r="137" spans="1:10" s="26" customFormat="1" ht="15" customHeight="1">
      <c r="A137" s="29">
        <f>MAX($A$5:A136)+1</f>
        <v>86</v>
      </c>
      <c r="B137" s="30" t="str">
        <f t="shared" si="36"/>
        <v>PTP RESERVATION FEE</v>
      </c>
      <c r="C137" s="65">
        <f t="shared" ref="C137:F137" si="53">IF(AND($B137=$B20,$B137=$B48),$E20*C48,"error, yo")</f>
        <v>0</v>
      </c>
      <c r="D137" s="65">
        <f t="shared" si="53"/>
        <v>2208.3200000000002</v>
      </c>
      <c r="E137" s="65">
        <f t="shared" si="53"/>
        <v>0</v>
      </c>
      <c r="F137" s="65">
        <f t="shared" si="53"/>
        <v>0</v>
      </c>
      <c r="G137" s="65">
        <f t="shared" si="38"/>
        <v>0</v>
      </c>
      <c r="H137" s="65">
        <f t="shared" si="38"/>
        <v>0</v>
      </c>
      <c r="I137" s="45">
        <f t="shared" si="39"/>
        <v>2208.3200000000002</v>
      </c>
      <c r="J137" s="46"/>
    </row>
    <row r="138" spans="1:10" s="26" customFormat="1" ht="15" customHeight="1">
      <c r="A138" s="29">
        <f>MAX($A$5:A137)+1</f>
        <v>87</v>
      </c>
      <c r="B138" s="30" t="str">
        <f t="shared" si="36"/>
        <v>RIGHT-OF-WAY LEASE</v>
      </c>
      <c r="C138" s="65">
        <f t="shared" ref="C138:F138" si="54">IF(AND($B138=$B21,$B138=$B49),$E21*C49,"error, yo")</f>
        <v>1.2775158354603282</v>
      </c>
      <c r="D138" s="65">
        <f t="shared" si="54"/>
        <v>58.604980058715796</v>
      </c>
      <c r="E138" s="65">
        <f t="shared" si="54"/>
        <v>6.4133889191820312</v>
      </c>
      <c r="F138" s="65">
        <f t="shared" si="54"/>
        <v>0.65154540158845431</v>
      </c>
      <c r="G138" s="65">
        <f t="shared" si="38"/>
        <v>5.259290992782939E-2</v>
      </c>
      <c r="H138" s="65">
        <f t="shared" si="38"/>
        <v>12.19997687512557</v>
      </c>
      <c r="I138" s="45">
        <f t="shared" si="39"/>
        <v>79.2</v>
      </c>
      <c r="J138" s="46"/>
    </row>
    <row r="139" spans="1:10" s="26" customFormat="1" ht="15" customHeight="1">
      <c r="A139" s="29">
        <f>MAX($A$5:A138)+1</f>
        <v>88</v>
      </c>
      <c r="B139" s="30" t="str">
        <f t="shared" si="36"/>
        <v>SINT AC NON FEDERAL O&amp;M</v>
      </c>
      <c r="C139" s="65">
        <f t="shared" ref="C139:F141" si="55">IF(AND($B139=$B22,$B139=$B50),$E22*C50,"error, yo")</f>
        <v>0</v>
      </c>
      <c r="D139" s="65">
        <f t="shared" si="55"/>
        <v>0</v>
      </c>
      <c r="E139" s="65">
        <f t="shared" si="55"/>
        <v>2209.8000000000002</v>
      </c>
      <c r="F139" s="65">
        <f t="shared" si="55"/>
        <v>0</v>
      </c>
      <c r="G139" s="65">
        <f t="shared" si="38"/>
        <v>0</v>
      </c>
      <c r="H139" s="65">
        <f t="shared" si="38"/>
        <v>0</v>
      </c>
      <c r="I139" s="45">
        <f t="shared" si="39"/>
        <v>2209.8000000000002</v>
      </c>
      <c r="J139" s="46"/>
    </row>
    <row r="140" spans="1:10" s="26" customFormat="1" ht="15" customHeight="1">
      <c r="A140" s="29">
        <f>MAX($A$5:A139)+1</f>
        <v>89</v>
      </c>
      <c r="B140" s="30" t="str">
        <f t="shared" si="36"/>
        <v>TRANSMISSION OPERATOR SERVICES</v>
      </c>
      <c r="C140" s="65">
        <f t="shared" ref="C140:F141" si="56">IF(AND($B140=$B23,$B140=$B51),$E23*C51,"error, yo")</f>
        <v>0</v>
      </c>
      <c r="D140" s="65">
        <f t="shared" si="55"/>
        <v>900</v>
      </c>
      <c r="E140" s="65">
        <f t="shared" si="56"/>
        <v>0</v>
      </c>
      <c r="F140" s="65">
        <f t="shared" si="56"/>
        <v>0</v>
      </c>
      <c r="G140" s="65">
        <f t="shared" si="38"/>
        <v>0</v>
      </c>
      <c r="H140" s="65">
        <f t="shared" si="38"/>
        <v>0</v>
      </c>
      <c r="I140" s="45">
        <f t="shared" si="39"/>
        <v>900</v>
      </c>
      <c r="J140" s="46"/>
    </row>
    <row r="141" spans="1:10" s="26" customFormat="1" ht="15" customHeight="1">
      <c r="A141" s="29">
        <f>MAX($A$5:A140)+1</f>
        <v>90</v>
      </c>
      <c r="B141" s="30" t="str">
        <f t="shared" si="36"/>
        <v>TRANSMISSION PLANNER CFR SERV</v>
      </c>
      <c r="C141" s="65">
        <f t="shared" si="56"/>
        <v>0</v>
      </c>
      <c r="D141" s="65">
        <f t="shared" si="55"/>
        <v>269.35752000000002</v>
      </c>
      <c r="E141" s="65">
        <f t="shared" si="56"/>
        <v>0</v>
      </c>
      <c r="F141" s="65">
        <f t="shared" si="56"/>
        <v>0</v>
      </c>
      <c r="G141" s="65">
        <f t="shared" si="38"/>
        <v>0</v>
      </c>
      <c r="H141" s="65">
        <f t="shared" si="38"/>
        <v>0</v>
      </c>
      <c r="I141" s="45">
        <f t="shared" si="39"/>
        <v>269.35752000000002</v>
      </c>
      <c r="J141" s="46"/>
    </row>
    <row r="142" spans="1:10" s="26" customFormat="1" ht="15" customHeight="1">
      <c r="A142" s="29">
        <f>MAX($A$5:A141)+1</f>
        <v>91</v>
      </c>
      <c r="B142" s="30" t="str">
        <f t="shared" si="36"/>
        <v>TRANSMISSION PROCESSING FEE</v>
      </c>
      <c r="C142" s="65">
        <f t="shared" ref="C142:F142" si="57">IF(AND($B142=$B25,$B142=$B53),$E25*C53,"error, yo")</f>
        <v>0</v>
      </c>
      <c r="D142" s="65">
        <f t="shared" si="57"/>
        <v>39.6</v>
      </c>
      <c r="E142" s="65">
        <f t="shared" si="57"/>
        <v>0</v>
      </c>
      <c r="F142" s="65">
        <f t="shared" si="57"/>
        <v>0</v>
      </c>
      <c r="G142" s="65">
        <f t="shared" si="38"/>
        <v>0</v>
      </c>
      <c r="H142" s="65">
        <f t="shared" si="38"/>
        <v>0</v>
      </c>
      <c r="I142" s="45">
        <f t="shared" si="39"/>
        <v>39.6</v>
      </c>
      <c r="J142" s="46"/>
    </row>
    <row r="143" spans="1:10" s="26" customFormat="1" ht="15" customHeight="1">
      <c r="A143" s="29">
        <f>MAX($A$5:A142)+1</f>
        <v>92</v>
      </c>
      <c r="B143" s="30" t="str">
        <f t="shared" si="36"/>
        <v>TS SHARE OF RES ENRGY/WHLG-COE</v>
      </c>
      <c r="C143" s="65">
        <f t="shared" ref="C143:F143" si="58">IF(AND($B143=$B26,$B143=$B54),$E26*C54,"error, yo")</f>
        <v>0</v>
      </c>
      <c r="D143" s="65">
        <f t="shared" si="58"/>
        <v>245.697</v>
      </c>
      <c r="E143" s="65">
        <f t="shared" si="58"/>
        <v>0</v>
      </c>
      <c r="F143" s="65">
        <f t="shared" si="58"/>
        <v>0</v>
      </c>
      <c r="G143" s="65">
        <f t="shared" si="38"/>
        <v>0</v>
      </c>
      <c r="H143" s="65">
        <f t="shared" si="38"/>
        <v>0</v>
      </c>
      <c r="I143" s="45">
        <f t="shared" si="39"/>
        <v>245.697</v>
      </c>
      <c r="J143" s="46"/>
    </row>
    <row r="144" spans="1:10" s="26" customFormat="1" ht="15" customHeight="1">
      <c r="A144" s="29">
        <f>MAX($A$5:A143)+1</f>
        <v>93</v>
      </c>
      <c r="B144" s="30" t="str">
        <f t="shared" si="36"/>
        <v>UFT FIXED DOLLAR AMOUNT</v>
      </c>
      <c r="C144" s="65">
        <f t="shared" ref="C144:F144" si="59">IF(AND($B144=$B27,$B144=$B55),$E27*C55,"error, yo")</f>
        <v>0</v>
      </c>
      <c r="D144" s="65">
        <f t="shared" si="59"/>
        <v>1085.5535185235015</v>
      </c>
      <c r="E144" s="65">
        <f t="shared" si="59"/>
        <v>1695.3060479427916</v>
      </c>
      <c r="F144" s="65">
        <f t="shared" si="59"/>
        <v>648.72843353370718</v>
      </c>
      <c r="G144" s="65">
        <f t="shared" si="38"/>
        <v>0</v>
      </c>
      <c r="H144" s="65">
        <f t="shared" si="38"/>
        <v>0</v>
      </c>
      <c r="I144" s="45">
        <f t="shared" si="39"/>
        <v>3429.5880000000002</v>
      </c>
      <c r="J144" s="46"/>
    </row>
    <row r="145" spans="1:10" s="26" customFormat="1" ht="15" customHeight="1">
      <c r="A145" s="29">
        <f>MAX($A$5:A144)+1</f>
        <v>94</v>
      </c>
      <c r="B145" s="293" t="str">
        <f t="shared" si="36"/>
        <v>UFT VARIABLE SERVICE AMT</v>
      </c>
      <c r="C145" s="65">
        <f t="shared" ref="C145:F145" si="60">IF(AND($B145=$B28,$B145=$B56),$E28*C56,"error, yo")</f>
        <v>0</v>
      </c>
      <c r="D145" s="65">
        <f t="shared" si="60"/>
        <v>76.889211912817174</v>
      </c>
      <c r="E145" s="65">
        <f t="shared" si="60"/>
        <v>120.07767811820869</v>
      </c>
      <c r="F145" s="65">
        <f t="shared" si="60"/>
        <v>45.949109968974113</v>
      </c>
      <c r="G145" s="65">
        <f t="shared" si="38"/>
        <v>0</v>
      </c>
      <c r="H145" s="65">
        <f t="shared" si="38"/>
        <v>0</v>
      </c>
      <c r="I145" s="45">
        <f t="shared" si="39"/>
        <v>242.91599999999997</v>
      </c>
      <c r="J145" s="46"/>
    </row>
    <row r="146" spans="1:10" s="26" customFormat="1" ht="15" customHeight="1">
      <c r="A146" s="29">
        <f>MAX($A$5:A145)+1</f>
        <v>95</v>
      </c>
      <c r="B146" s="33" t="s">
        <v>457</v>
      </c>
      <c r="C146" s="79">
        <f t="shared" ref="C146:I146" si="61">SUM(C123:C145)</f>
        <v>281.58170885520428</v>
      </c>
      <c r="D146" s="79">
        <f t="shared" si="61"/>
        <v>18380.824749873656</v>
      </c>
      <c r="E146" s="79">
        <f t="shared" si="61"/>
        <v>9008.6919253184606</v>
      </c>
      <c r="F146" s="79">
        <f t="shared" si="61"/>
        <v>838.28693172597468</v>
      </c>
      <c r="G146" s="79">
        <f t="shared" si="61"/>
        <v>395.79618621020842</v>
      </c>
      <c r="H146" s="79">
        <f t="shared" si="61"/>
        <v>2689.0393380164969</v>
      </c>
      <c r="I146" s="79">
        <f t="shared" si="61"/>
        <v>31594.220839999998</v>
      </c>
      <c r="J146" s="34"/>
    </row>
    <row r="147" spans="1:10" s="26" customFormat="1" ht="15" customHeight="1">
      <c r="A147" s="29"/>
      <c r="B147" s="33"/>
      <c r="C147" s="47"/>
      <c r="D147" s="47"/>
      <c r="E147" s="47"/>
      <c r="F147" s="47"/>
      <c r="G147" s="47"/>
      <c r="H147" s="47"/>
      <c r="I147" s="48"/>
      <c r="J147" s="48"/>
    </row>
    <row r="148" spans="1:10" s="26" customFormat="1" ht="15" customHeight="1">
      <c r="A148" s="29"/>
      <c r="B148" s="36" t="s">
        <v>0</v>
      </c>
      <c r="C148" s="49" t="s">
        <v>1</v>
      </c>
      <c r="D148" s="42" t="s">
        <v>2</v>
      </c>
      <c r="E148" s="42" t="s">
        <v>3</v>
      </c>
      <c r="F148" s="42" t="s">
        <v>4</v>
      </c>
      <c r="G148" s="42" t="s">
        <v>6</v>
      </c>
      <c r="H148" s="42" t="s">
        <v>7</v>
      </c>
      <c r="I148" s="145" t="s">
        <v>32</v>
      </c>
      <c r="J148" s="145"/>
    </row>
    <row r="149" spans="1:10" s="26" customFormat="1" ht="15" customHeight="1">
      <c r="A149" s="29"/>
      <c r="B149" s="538" t="s">
        <v>458</v>
      </c>
      <c r="C149" s="530" t="s">
        <v>303</v>
      </c>
      <c r="D149" s="532" t="s">
        <v>13</v>
      </c>
      <c r="E149" s="532" t="s">
        <v>10</v>
      </c>
      <c r="F149" s="533"/>
      <c r="G149" s="145" t="s">
        <v>9</v>
      </c>
      <c r="H149" s="528" t="s">
        <v>304</v>
      </c>
      <c r="I149" s="528" t="s">
        <v>12</v>
      </c>
      <c r="J149" s="43"/>
    </row>
    <row r="150" spans="1:10" s="26" customFormat="1" ht="15" customHeight="1">
      <c r="A150" s="29"/>
      <c r="B150" s="539"/>
      <c r="C150" s="531"/>
      <c r="D150" s="540"/>
      <c r="E150" s="18" t="s">
        <v>14</v>
      </c>
      <c r="F150" s="18" t="s">
        <v>15</v>
      </c>
      <c r="G150" s="18" t="s">
        <v>20</v>
      </c>
      <c r="H150" s="529"/>
      <c r="I150" s="529"/>
      <c r="J150" s="145"/>
    </row>
    <row r="151" spans="1:10" s="26" customFormat="1" ht="15" customHeight="1">
      <c r="A151" s="29">
        <f>MAX($A$5:A150)+1</f>
        <v>96</v>
      </c>
      <c r="B151" s="30" t="str">
        <f>B6</f>
        <v>3RD AC RAS GENERATION DROPPING</v>
      </c>
      <c r="C151" s="65">
        <f t="shared" ref="C151:C166" si="62">IF(AND($B151=$B6,$B151=$B34),$F6*C34,"error, yo")</f>
        <v>0</v>
      </c>
      <c r="D151" s="65">
        <f t="shared" ref="D151:F151" si="63">IF(AND($B151=$B6,$B151=$B34),$F6*D34,"error, yo")</f>
        <v>0</v>
      </c>
      <c r="E151" s="65">
        <f t="shared" si="63"/>
        <v>76.572000000000003</v>
      </c>
      <c r="F151" s="65">
        <f t="shared" si="63"/>
        <v>0</v>
      </c>
      <c r="G151" s="65">
        <f t="shared" ref="G151:H166" si="64">IF(AND($B151=$B6,$B151=$B34),$F6*G34,"error, yo")</f>
        <v>0</v>
      </c>
      <c r="H151" s="65">
        <f t="shared" si="64"/>
        <v>0</v>
      </c>
      <c r="I151" s="45">
        <f t="shared" ref="I151:I166" si="65">SUM(C151:H151)</f>
        <v>76.572000000000003</v>
      </c>
      <c r="J151" s="46"/>
    </row>
    <row r="152" spans="1:10" s="26" customFormat="1" ht="15" customHeight="1">
      <c r="A152" s="29">
        <f>MAX($A$5:A151)+1</f>
        <v>97</v>
      </c>
      <c r="B152" s="30" t="str">
        <f t="shared" ref="B152:B173" si="66">B7</f>
        <v>AMORT NONFED PNW AC INTERTIE</v>
      </c>
      <c r="C152" s="65">
        <f t="shared" si="62"/>
        <v>0</v>
      </c>
      <c r="D152" s="65">
        <f t="shared" ref="D152:F166" si="67">IF(AND($B152=$B7,$B152=$B35),$F7*D35,"error, yo")</f>
        <v>0</v>
      </c>
      <c r="E152" s="65">
        <f t="shared" si="67"/>
        <v>3493.3388399999999</v>
      </c>
      <c r="F152" s="65">
        <f t="shared" si="67"/>
        <v>0</v>
      </c>
      <c r="G152" s="65">
        <f t="shared" si="64"/>
        <v>0</v>
      </c>
      <c r="H152" s="65">
        <f t="shared" si="64"/>
        <v>0</v>
      </c>
      <c r="I152" s="45">
        <f t="shared" si="65"/>
        <v>3493.3388399999999</v>
      </c>
      <c r="J152" s="46"/>
    </row>
    <row r="153" spans="1:10" s="26" customFormat="1" ht="15" customHeight="1">
      <c r="A153" s="29">
        <f>MAX($A$5:A152)+1</f>
        <v>98</v>
      </c>
      <c r="B153" s="30" t="str">
        <f t="shared" si="66"/>
        <v>BPA EQUIPMENT USE</v>
      </c>
      <c r="C153" s="65">
        <f t="shared" si="62"/>
        <v>2.7745321190133856</v>
      </c>
      <c r="D153" s="65">
        <f t="shared" si="67"/>
        <v>127.27936123661094</v>
      </c>
      <c r="E153" s="65">
        <f t="shared" si="67"/>
        <v>13.928714661750792</v>
      </c>
      <c r="F153" s="65">
        <f t="shared" si="67"/>
        <v>1.4150381494498339</v>
      </c>
      <c r="G153" s="65">
        <f t="shared" si="64"/>
        <v>0.11422223801598584</v>
      </c>
      <c r="H153" s="65">
        <f t="shared" si="64"/>
        <v>26.496131595159078</v>
      </c>
      <c r="I153" s="45">
        <f t="shared" si="65"/>
        <v>172.00800000000004</v>
      </c>
      <c r="J153" s="46"/>
    </row>
    <row r="154" spans="1:10" s="26" customFormat="1" ht="15" customHeight="1">
      <c r="A154" s="29">
        <f>MAX($A$5:A153)+1</f>
        <v>99</v>
      </c>
      <c r="B154" s="30" t="str">
        <f t="shared" si="66"/>
        <v>DSI DELIVERY CHARGE</v>
      </c>
      <c r="C154" s="65">
        <f t="shared" si="62"/>
        <v>0</v>
      </c>
      <c r="D154" s="65">
        <f t="shared" si="67"/>
        <v>0</v>
      </c>
      <c r="E154" s="65">
        <f t="shared" si="67"/>
        <v>0</v>
      </c>
      <c r="F154" s="65">
        <f t="shared" si="67"/>
        <v>0</v>
      </c>
      <c r="G154" s="65">
        <f t="shared" si="64"/>
        <v>384.20400000000001</v>
      </c>
      <c r="H154" s="65">
        <f t="shared" si="64"/>
        <v>0</v>
      </c>
      <c r="I154" s="45">
        <f t="shared" si="65"/>
        <v>384.20400000000001</v>
      </c>
      <c r="J154" s="46"/>
    </row>
    <row r="155" spans="1:10" s="26" customFormat="1" ht="15" customHeight="1">
      <c r="A155" s="29">
        <f>MAX($A$5:A154)+1</f>
        <v>100</v>
      </c>
      <c r="B155" s="30" t="str">
        <f t="shared" si="66"/>
        <v>FIBER LEASES</v>
      </c>
      <c r="C155" s="65">
        <f t="shared" si="62"/>
        <v>80.059724339447897</v>
      </c>
      <c r="D155" s="65">
        <f t="shared" si="67"/>
        <v>3672.6734950639516</v>
      </c>
      <c r="E155" s="65">
        <f t="shared" si="67"/>
        <v>401.91607391415994</v>
      </c>
      <c r="F155" s="65">
        <f t="shared" si="67"/>
        <v>40.831231831275701</v>
      </c>
      <c r="G155" s="65">
        <f t="shared" si="64"/>
        <v>3.2959073806816921</v>
      </c>
      <c r="H155" s="65">
        <f t="shared" si="64"/>
        <v>764.55160747048387</v>
      </c>
      <c r="I155" s="45">
        <f t="shared" si="65"/>
        <v>4963.3280400000003</v>
      </c>
      <c r="J155" s="46"/>
    </row>
    <row r="156" spans="1:10" s="26" customFormat="1" ht="15" customHeight="1">
      <c r="A156" s="29">
        <f>MAX($A$5:A155)+1</f>
        <v>101</v>
      </c>
      <c r="B156" s="30" t="str">
        <f t="shared" si="66"/>
        <v>FIBER OPERATIONS &amp; MAINTENANCE</v>
      </c>
      <c r="C156" s="65">
        <f t="shared" si="62"/>
        <v>12.928383636168894</v>
      </c>
      <c r="D156" s="65">
        <f t="shared" si="67"/>
        <v>593.07888337532404</v>
      </c>
      <c r="E156" s="65">
        <f t="shared" si="67"/>
        <v>64.903111220741266</v>
      </c>
      <c r="F156" s="65">
        <f t="shared" si="67"/>
        <v>6.5936003878042282</v>
      </c>
      <c r="G156" s="65">
        <f t="shared" si="64"/>
        <v>0.53223709422314147</v>
      </c>
      <c r="H156" s="65">
        <f t="shared" si="64"/>
        <v>123.46303428573847</v>
      </c>
      <c r="I156" s="45">
        <f t="shared" si="65"/>
        <v>801.49924999999996</v>
      </c>
      <c r="J156" s="46"/>
    </row>
    <row r="157" spans="1:10" s="26" customFormat="1" ht="15" customHeight="1">
      <c r="A157" s="29">
        <f>MAX($A$5:A156)+1</f>
        <v>102</v>
      </c>
      <c r="B157" s="30" t="str">
        <f t="shared" si="66"/>
        <v>LAND USE/LEASE/SALE</v>
      </c>
      <c r="C157" s="65">
        <f t="shared" si="62"/>
        <v>1.4214460602054357</v>
      </c>
      <c r="D157" s="65">
        <f t="shared" si="67"/>
        <v>65.207659819623885</v>
      </c>
      <c r="E157" s="65">
        <f t="shared" si="67"/>
        <v>7.135947875316643</v>
      </c>
      <c r="F157" s="65">
        <f t="shared" si="67"/>
        <v>0.72495120485074949</v>
      </c>
      <c r="G157" s="65">
        <f t="shared" si="64"/>
        <v>5.8518244969319566E-2</v>
      </c>
      <c r="H157" s="65">
        <f t="shared" si="64"/>
        <v>13.574476795033972</v>
      </c>
      <c r="I157" s="45">
        <f t="shared" si="65"/>
        <v>88.123000000000019</v>
      </c>
      <c r="J157" s="46"/>
    </row>
    <row r="158" spans="1:10" s="26" customFormat="1" ht="15" customHeight="1">
      <c r="A158" s="29">
        <f>MAX($A$5:A157)+1</f>
        <v>103</v>
      </c>
      <c r="B158" s="30" t="str">
        <f t="shared" si="66"/>
        <v>MISC LEASES</v>
      </c>
      <c r="C158" s="65">
        <f t="shared" si="62"/>
        <v>1.3546023023500366</v>
      </c>
      <c r="D158" s="65">
        <f t="shared" si="67"/>
        <v>62.141257832713301</v>
      </c>
      <c r="E158" s="65">
        <f t="shared" si="67"/>
        <v>6.8003786369190369</v>
      </c>
      <c r="F158" s="65">
        <f t="shared" si="67"/>
        <v>0.69086024343430297</v>
      </c>
      <c r="G158" s="65">
        <f t="shared" si="64"/>
        <v>5.5766413924610909E-2</v>
      </c>
      <c r="H158" s="65">
        <f t="shared" si="64"/>
        <v>12.936134570658714</v>
      </c>
      <c r="I158" s="45">
        <f t="shared" si="65"/>
        <v>83.978999999999999</v>
      </c>
      <c r="J158" s="46"/>
    </row>
    <row r="159" spans="1:10" s="26" customFormat="1" ht="15" customHeight="1">
      <c r="A159" s="29">
        <f>MAX($A$5:A158)+1</f>
        <v>104</v>
      </c>
      <c r="B159" s="30" t="str">
        <f t="shared" si="66"/>
        <v>MISC SERVICE FEES</v>
      </c>
      <c r="C159" s="65">
        <f t="shared" si="62"/>
        <v>19.564574331058807</v>
      </c>
      <c r="D159" s="65">
        <f t="shared" si="67"/>
        <v>897.50863097193303</v>
      </c>
      <c r="E159" s="65">
        <f t="shared" si="67"/>
        <v>98.218136120491351</v>
      </c>
      <c r="F159" s="65">
        <f t="shared" si="67"/>
        <v>9.9781216683264553</v>
      </c>
      <c r="G159" s="65">
        <f t="shared" si="64"/>
        <v>0.80543650967655811</v>
      </c>
      <c r="H159" s="65">
        <f t="shared" si="64"/>
        <v>186.83710039851394</v>
      </c>
      <c r="I159" s="45">
        <f t="shared" si="65"/>
        <v>1212.912</v>
      </c>
      <c r="J159" s="46"/>
    </row>
    <row r="160" spans="1:10" s="26" customFormat="1" ht="15" customHeight="1">
      <c r="A160" s="29">
        <f>MAX($A$5:A159)+1</f>
        <v>105</v>
      </c>
      <c r="B160" s="30" t="str">
        <f t="shared" si="66"/>
        <v>O&amp;M FEDERAL FACILITY</v>
      </c>
      <c r="C160" s="65">
        <f t="shared" si="62"/>
        <v>0</v>
      </c>
      <c r="D160" s="65">
        <f t="shared" si="67"/>
        <v>220.97200000000001</v>
      </c>
      <c r="E160" s="65">
        <f t="shared" si="67"/>
        <v>0</v>
      </c>
      <c r="F160" s="65">
        <f t="shared" si="67"/>
        <v>0</v>
      </c>
      <c r="G160" s="65">
        <f t="shared" si="64"/>
        <v>0</v>
      </c>
      <c r="H160" s="65">
        <f t="shared" si="64"/>
        <v>0</v>
      </c>
      <c r="I160" s="45">
        <f t="shared" si="65"/>
        <v>220.97200000000001</v>
      </c>
      <c r="J160" s="46"/>
    </row>
    <row r="161" spans="1:10" s="26" customFormat="1" ht="15" customHeight="1">
      <c r="A161" s="29">
        <f>MAX($A$5:A160)+1</f>
        <v>106</v>
      </c>
      <c r="B161" s="30" t="str">
        <f t="shared" si="66"/>
        <v>O&amp;M NON-FEDERAL FACILITY</v>
      </c>
      <c r="C161" s="65">
        <f t="shared" si="62"/>
        <v>0</v>
      </c>
      <c r="D161" s="65">
        <f t="shared" si="67"/>
        <v>417.108</v>
      </c>
      <c r="E161" s="65">
        <f t="shared" si="67"/>
        <v>0</v>
      </c>
      <c r="F161" s="65">
        <f t="shared" si="67"/>
        <v>0</v>
      </c>
      <c r="G161" s="65">
        <f t="shared" si="64"/>
        <v>0</v>
      </c>
      <c r="H161" s="65">
        <f t="shared" si="64"/>
        <v>0</v>
      </c>
      <c r="I161" s="45">
        <f t="shared" si="65"/>
        <v>417.108</v>
      </c>
      <c r="J161" s="46"/>
    </row>
    <row r="162" spans="1:10" s="26" customFormat="1" ht="15" customHeight="1">
      <c r="A162" s="29">
        <f>MAX($A$5:A161)+1</f>
        <v>107</v>
      </c>
      <c r="B162" s="30" t="str">
        <f t="shared" si="66"/>
        <v>PCS CONSTRUCTION</v>
      </c>
      <c r="C162" s="65">
        <f t="shared" si="62"/>
        <v>38.712601074555401</v>
      </c>
      <c r="D162" s="65">
        <f t="shared" si="67"/>
        <v>1775.9084866277512</v>
      </c>
      <c r="E162" s="65">
        <f t="shared" si="67"/>
        <v>194.34511876309185</v>
      </c>
      <c r="F162" s="65">
        <f t="shared" si="67"/>
        <v>19.743800048134975</v>
      </c>
      <c r="G162" s="65">
        <f t="shared" si="64"/>
        <v>1.5937245432675573</v>
      </c>
      <c r="H162" s="65">
        <f t="shared" si="64"/>
        <v>369.69626894319907</v>
      </c>
      <c r="I162" s="45">
        <f t="shared" si="65"/>
        <v>2400</v>
      </c>
      <c r="J162" s="46"/>
    </row>
    <row r="163" spans="1:10" s="26" customFormat="1" ht="15" customHeight="1">
      <c r="A163" s="29">
        <f>MAX($A$5:A162)+1</f>
        <v>108</v>
      </c>
      <c r="B163" s="30" t="str">
        <f t="shared" si="66"/>
        <v>PCS OPERATIONS &amp; MAINTENANCE</v>
      </c>
      <c r="C163" s="65">
        <f t="shared" si="62"/>
        <v>12.581595349230504</v>
      </c>
      <c r="D163" s="65">
        <f t="shared" si="67"/>
        <v>577.17025815401917</v>
      </c>
      <c r="E163" s="65">
        <f t="shared" si="67"/>
        <v>63.162163598004845</v>
      </c>
      <c r="F163" s="65">
        <f t="shared" si="67"/>
        <v>6.4167350156438676</v>
      </c>
      <c r="G163" s="65">
        <f t="shared" si="64"/>
        <v>0.5179604765619561</v>
      </c>
      <c r="H163" s="65">
        <f t="shared" si="64"/>
        <v>120.15128740653969</v>
      </c>
      <c r="I163" s="45">
        <f t="shared" si="65"/>
        <v>780.00000000000011</v>
      </c>
      <c r="J163" s="46"/>
    </row>
    <row r="164" spans="1:10" s="26" customFormat="1" ht="15" customHeight="1">
      <c r="A164" s="29">
        <f>MAX($A$5:A163)+1</f>
        <v>109</v>
      </c>
      <c r="B164" s="30" t="str">
        <f t="shared" si="66"/>
        <v>PCS WIRELESS LEASES</v>
      </c>
      <c r="C164" s="65">
        <f t="shared" si="62"/>
        <v>108.92274219839594</v>
      </c>
      <c r="D164" s="65">
        <f t="shared" si="67"/>
        <v>4996.7405156880068</v>
      </c>
      <c r="E164" s="65">
        <f t="shared" si="67"/>
        <v>546.81428477980421</v>
      </c>
      <c r="F164" s="65">
        <f t="shared" si="67"/>
        <v>55.551649410433775</v>
      </c>
      <c r="G164" s="65">
        <f t="shared" si="64"/>
        <v>4.4841432180511802</v>
      </c>
      <c r="H164" s="65">
        <f t="shared" si="64"/>
        <v>1040.1866647053084</v>
      </c>
      <c r="I164" s="45">
        <f t="shared" si="65"/>
        <v>6752.7000000000007</v>
      </c>
      <c r="J164" s="46"/>
    </row>
    <row r="165" spans="1:10" s="26" customFormat="1" ht="15" customHeight="1">
      <c r="A165" s="29">
        <f>MAX($A$5:A164)+1</f>
        <v>110</v>
      </c>
      <c r="B165" s="30" t="str">
        <f t="shared" si="66"/>
        <v>PTP RESERVATION FEE</v>
      </c>
      <c r="C165" s="65">
        <f t="shared" si="62"/>
        <v>0</v>
      </c>
      <c r="D165" s="65">
        <f t="shared" si="67"/>
        <v>2208.3200000000002</v>
      </c>
      <c r="E165" s="65">
        <f t="shared" si="67"/>
        <v>0</v>
      </c>
      <c r="F165" s="65">
        <f t="shared" si="67"/>
        <v>0</v>
      </c>
      <c r="G165" s="65">
        <f t="shared" si="64"/>
        <v>0</v>
      </c>
      <c r="H165" s="65">
        <f t="shared" si="64"/>
        <v>0</v>
      </c>
      <c r="I165" s="45">
        <f t="shared" si="65"/>
        <v>2208.3200000000002</v>
      </c>
      <c r="J165" s="46"/>
    </row>
    <row r="166" spans="1:10" s="26" customFormat="1" ht="15" customHeight="1">
      <c r="A166" s="29">
        <f>MAX($A$5:A165)+1</f>
        <v>111</v>
      </c>
      <c r="B166" s="30" t="str">
        <f t="shared" si="66"/>
        <v>RIGHT-OF-WAY LEASE</v>
      </c>
      <c r="C166" s="65">
        <f t="shared" si="62"/>
        <v>1.2775158354603282</v>
      </c>
      <c r="D166" s="65">
        <f t="shared" si="67"/>
        <v>58.604980058715796</v>
      </c>
      <c r="E166" s="65">
        <f t="shared" si="67"/>
        <v>6.4133889191820312</v>
      </c>
      <c r="F166" s="65">
        <f t="shared" si="67"/>
        <v>0.65154540158845431</v>
      </c>
      <c r="G166" s="65">
        <f t="shared" si="64"/>
        <v>5.259290992782939E-2</v>
      </c>
      <c r="H166" s="65">
        <f t="shared" si="64"/>
        <v>12.19997687512557</v>
      </c>
      <c r="I166" s="45">
        <f t="shared" si="65"/>
        <v>79.2</v>
      </c>
      <c r="J166" s="46"/>
    </row>
    <row r="167" spans="1:10" s="26" customFormat="1" ht="15" customHeight="1">
      <c r="A167" s="29">
        <f>MAX($A$5:A166)+1</f>
        <v>112</v>
      </c>
      <c r="B167" s="30" t="str">
        <f t="shared" si="66"/>
        <v>SINT AC NON FEDERAL O&amp;M</v>
      </c>
      <c r="C167" s="65">
        <f t="shared" ref="C167:H167" si="68">IF(AND($B167=$B22,$B167=$B50),$F22*C50,"error, yo")</f>
        <v>0</v>
      </c>
      <c r="D167" s="65">
        <f t="shared" si="68"/>
        <v>0</v>
      </c>
      <c r="E167" s="65">
        <f t="shared" si="68"/>
        <v>2209.8000000000002</v>
      </c>
      <c r="F167" s="65">
        <f t="shared" si="68"/>
        <v>0</v>
      </c>
      <c r="G167" s="65">
        <f t="shared" si="68"/>
        <v>0</v>
      </c>
      <c r="H167" s="65">
        <f t="shared" si="68"/>
        <v>0</v>
      </c>
      <c r="I167" s="45">
        <f t="shared" ref="I167:I168" si="69">SUM(C167:H167)</f>
        <v>2209.8000000000002</v>
      </c>
      <c r="J167" s="46"/>
    </row>
    <row r="168" spans="1:10" s="26" customFormat="1" ht="15" customHeight="1">
      <c r="A168" s="29">
        <f>MAX($A$5:A167)+1</f>
        <v>113</v>
      </c>
      <c r="B168" s="30" t="str">
        <f t="shared" si="66"/>
        <v>TRANSMISSION OPERATOR SERVICES</v>
      </c>
      <c r="C168" s="65">
        <f t="shared" ref="C168:H168" si="70">IF(AND($B168=$B23,$B168=$B51),$F23*C51,"error, yo")</f>
        <v>0</v>
      </c>
      <c r="D168" s="65">
        <f t="shared" si="70"/>
        <v>900</v>
      </c>
      <c r="E168" s="65">
        <f t="shared" si="70"/>
        <v>0</v>
      </c>
      <c r="F168" s="65">
        <f t="shared" si="70"/>
        <v>0</v>
      </c>
      <c r="G168" s="65">
        <f t="shared" si="70"/>
        <v>0</v>
      </c>
      <c r="H168" s="65">
        <f t="shared" si="70"/>
        <v>0</v>
      </c>
      <c r="I168" s="45">
        <f t="shared" si="69"/>
        <v>900</v>
      </c>
      <c r="J168" s="46"/>
    </row>
    <row r="169" spans="1:10" s="26" customFormat="1" ht="15" customHeight="1">
      <c r="A169" s="29">
        <f>MAX($A$5:A168)+1</f>
        <v>114</v>
      </c>
      <c r="B169" s="30" t="str">
        <f t="shared" si="66"/>
        <v>TRANSMISSION PLANNER CFR SERV</v>
      </c>
      <c r="C169" s="65">
        <f t="shared" ref="C169:H169" si="71">IF(AND($B169=$B24,$B169=$B52),$F24*C52,"error, yo")</f>
        <v>0</v>
      </c>
      <c r="D169" s="65">
        <f t="shared" si="71"/>
        <v>269.35752000000002</v>
      </c>
      <c r="E169" s="65">
        <f t="shared" si="71"/>
        <v>0</v>
      </c>
      <c r="F169" s="65">
        <f t="shared" si="71"/>
        <v>0</v>
      </c>
      <c r="G169" s="65">
        <f t="shared" si="71"/>
        <v>0</v>
      </c>
      <c r="H169" s="65">
        <f t="shared" si="71"/>
        <v>0</v>
      </c>
      <c r="I169" s="45">
        <f t="shared" ref="I169:I171" si="72">SUM(C169:H169)</f>
        <v>269.35752000000002</v>
      </c>
      <c r="J169" s="46"/>
    </row>
    <row r="170" spans="1:10" s="26" customFormat="1" ht="15" customHeight="1">
      <c r="A170" s="29">
        <f>MAX($A$5:A169)+1</f>
        <v>115</v>
      </c>
      <c r="B170" s="30" t="str">
        <f t="shared" si="66"/>
        <v>TRANSMISSION PROCESSING FEE</v>
      </c>
      <c r="C170" s="65">
        <f t="shared" ref="C170:H170" si="73">IF(AND($B170=$B25,$B170=$B53),$F25*C53,"error, yo")</f>
        <v>0</v>
      </c>
      <c r="D170" s="65">
        <f t="shared" si="73"/>
        <v>39.6</v>
      </c>
      <c r="E170" s="65">
        <f t="shared" si="73"/>
        <v>0</v>
      </c>
      <c r="F170" s="65">
        <f t="shared" si="73"/>
        <v>0</v>
      </c>
      <c r="G170" s="65">
        <f t="shared" si="73"/>
        <v>0</v>
      </c>
      <c r="H170" s="65">
        <f t="shared" si="73"/>
        <v>0</v>
      </c>
      <c r="I170" s="45">
        <f t="shared" si="72"/>
        <v>39.6</v>
      </c>
      <c r="J170" s="46"/>
    </row>
    <row r="171" spans="1:10" s="26" customFormat="1" ht="15" customHeight="1">
      <c r="A171" s="29">
        <f>MAX($A$5:A170)+1</f>
        <v>116</v>
      </c>
      <c r="B171" s="30" t="str">
        <f t="shared" si="66"/>
        <v>TS SHARE OF RES ENRGY/WHLG-COE</v>
      </c>
      <c r="C171" s="65">
        <f t="shared" ref="C171:H171" si="74">IF(AND($B171=$B26,$B171=$B54),$F26*C54,"error, yo")</f>
        <v>0</v>
      </c>
      <c r="D171" s="65">
        <f t="shared" si="74"/>
        <v>245.697</v>
      </c>
      <c r="E171" s="65">
        <f t="shared" si="74"/>
        <v>0</v>
      </c>
      <c r="F171" s="65">
        <f t="shared" si="74"/>
        <v>0</v>
      </c>
      <c r="G171" s="65">
        <f t="shared" si="74"/>
        <v>0</v>
      </c>
      <c r="H171" s="65">
        <f t="shared" si="74"/>
        <v>0</v>
      </c>
      <c r="I171" s="45">
        <f t="shared" si="72"/>
        <v>245.697</v>
      </c>
      <c r="J171" s="46"/>
    </row>
    <row r="172" spans="1:10" s="26" customFormat="1" ht="15" customHeight="1">
      <c r="A172" s="29">
        <f>MAX($A$5:A171)+1</f>
        <v>117</v>
      </c>
      <c r="B172" s="30" t="str">
        <f t="shared" si="66"/>
        <v>UFT FIXED DOLLAR AMOUNT</v>
      </c>
      <c r="C172" s="65">
        <f t="shared" ref="C172:H173" si="75">IF(AND($B172=$B27,$B172=$B55),$F27*C55,"error, yo")</f>
        <v>0</v>
      </c>
      <c r="D172" s="65">
        <f t="shared" si="75"/>
        <v>1085.5535185235015</v>
      </c>
      <c r="E172" s="65">
        <f t="shared" si="75"/>
        <v>1695.3060479427916</v>
      </c>
      <c r="F172" s="65">
        <f t="shared" si="75"/>
        <v>648.72843353370718</v>
      </c>
      <c r="G172" s="65">
        <f t="shared" si="75"/>
        <v>0</v>
      </c>
      <c r="H172" s="65">
        <f t="shared" si="75"/>
        <v>0</v>
      </c>
      <c r="I172" s="45">
        <f>SUM(C172:H172)</f>
        <v>3429.5880000000002</v>
      </c>
      <c r="J172" s="46"/>
    </row>
    <row r="173" spans="1:10" s="26" customFormat="1" ht="15" customHeight="1">
      <c r="A173" s="29">
        <f>MAX($A$5:A172)+1</f>
        <v>118</v>
      </c>
      <c r="B173" s="30" t="str">
        <f t="shared" si="66"/>
        <v>UFT VARIABLE SERVICE AMT</v>
      </c>
      <c r="C173" s="65">
        <f t="shared" si="75"/>
        <v>0</v>
      </c>
      <c r="D173" s="65">
        <f t="shared" si="75"/>
        <v>76.889211912817174</v>
      </c>
      <c r="E173" s="65">
        <f t="shared" si="75"/>
        <v>120.07767811820869</v>
      </c>
      <c r="F173" s="65">
        <f t="shared" si="75"/>
        <v>45.949109968974113</v>
      </c>
      <c r="G173" s="65">
        <f t="shared" si="75"/>
        <v>0</v>
      </c>
      <c r="H173" s="65">
        <f t="shared" si="75"/>
        <v>0</v>
      </c>
      <c r="I173" s="45">
        <f>SUM(C173:H173)</f>
        <v>242.91599999999997</v>
      </c>
      <c r="J173" s="46"/>
    </row>
    <row r="174" spans="1:10" s="26" customFormat="1" ht="15" customHeight="1">
      <c r="A174" s="29">
        <f>MAX($A$5:A173)+1</f>
        <v>119</v>
      </c>
      <c r="B174" s="33" t="s">
        <v>459</v>
      </c>
      <c r="C174" s="79">
        <f t="shared" ref="C174:I174" si="76">SUM(C151:C173)</f>
        <v>279.59771724588666</v>
      </c>
      <c r="D174" s="79">
        <f t="shared" si="76"/>
        <v>18289.810779264968</v>
      </c>
      <c r="E174" s="79">
        <f t="shared" si="76"/>
        <v>8998.7318845504615</v>
      </c>
      <c r="F174" s="79">
        <f t="shared" si="76"/>
        <v>837.27507686362367</v>
      </c>
      <c r="G174" s="79">
        <f t="shared" si="76"/>
        <v>395.7145090292999</v>
      </c>
      <c r="H174" s="79">
        <f t="shared" si="76"/>
        <v>2670.0926830457611</v>
      </c>
      <c r="I174" s="79">
        <f t="shared" si="76"/>
        <v>31471.22265</v>
      </c>
      <c r="J174" s="34"/>
    </row>
    <row r="177" spans="1:6">
      <c r="A177" s="26"/>
      <c r="B177" s="21"/>
      <c r="C177" s="21"/>
      <c r="D177" s="21"/>
      <c r="E177" s="21"/>
      <c r="F177" s="21"/>
    </row>
    <row r="178" spans="1:6">
      <c r="B178" s="21"/>
    </row>
    <row r="179" spans="1:6">
      <c r="B179" s="21"/>
    </row>
    <row r="180" spans="1:6">
      <c r="B180" s="21"/>
    </row>
  </sheetData>
  <sortState xmlns:xlrd2="http://schemas.microsoft.com/office/spreadsheetml/2017/richdata2" ref="B6:I28">
    <sortCondition ref="B6:B28"/>
  </sortState>
  <mergeCells count="29">
    <mergeCell ref="C32:C33"/>
    <mergeCell ref="D32:D33"/>
    <mergeCell ref="E32:F32"/>
    <mergeCell ref="C93:C94"/>
    <mergeCell ref="D93:D94"/>
    <mergeCell ref="B60:I60"/>
    <mergeCell ref="H32:H33"/>
    <mergeCell ref="H149:H150"/>
    <mergeCell ref="I149:I150"/>
    <mergeCell ref="B149:B150"/>
    <mergeCell ref="C149:C150"/>
    <mergeCell ref="D149:D150"/>
    <mergeCell ref="E149:F149"/>
    <mergeCell ref="A1:J1"/>
    <mergeCell ref="A2:J2"/>
    <mergeCell ref="A3:J3"/>
    <mergeCell ref="B93:B94"/>
    <mergeCell ref="E121:F121"/>
    <mergeCell ref="I121:I122"/>
    <mergeCell ref="B121:B122"/>
    <mergeCell ref="C121:C122"/>
    <mergeCell ref="D121:D122"/>
    <mergeCell ref="H121:H122"/>
    <mergeCell ref="E93:F93"/>
    <mergeCell ref="J32:J33"/>
    <mergeCell ref="I32:I33"/>
    <mergeCell ref="I93:I94"/>
    <mergeCell ref="H93:H94"/>
    <mergeCell ref="B32:B33"/>
  </mergeCells>
  <phoneticPr fontId="49" type="noConversion"/>
  <printOptions horizontalCentered="1"/>
  <pageMargins left="0.25" right="0.25" top="0.75" bottom="0.75" header="0.3" footer="0.3"/>
  <pageSetup scale="75" fitToHeight="4" orientation="landscape" blackAndWhite="1" horizontalDpi="4294967292" verticalDpi="300" r:id="rId1"/>
  <headerFooter alignWithMargins="0"/>
  <rowBreaks count="3" manualBreakCount="3">
    <brk id="30" max="10" man="1"/>
    <brk id="91" max="10" man="1"/>
    <brk id="119" max="10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8">
    <tabColor theme="3" tint="0.79998168889431442"/>
    <pageSetUpPr fitToPage="1"/>
  </sheetPr>
  <dimension ref="A1:K93"/>
  <sheetViews>
    <sheetView zoomScaleNormal="100" workbookViewId="0">
      <selection sqref="A1:H1"/>
    </sheetView>
  </sheetViews>
  <sheetFormatPr defaultColWidth="8" defaultRowHeight="14.25"/>
  <cols>
    <col min="1" max="1" width="4.28515625" style="355" customWidth="1"/>
    <col min="2" max="2" width="48.5703125" style="339" customWidth="1"/>
    <col min="3" max="9" width="14.28515625" style="355" customWidth="1"/>
    <col min="10" max="10" width="23" style="339" customWidth="1"/>
    <col min="11" max="11" width="8" style="339"/>
    <col min="12" max="12" width="14.5703125" style="339" bestFit="1" customWidth="1"/>
    <col min="13" max="16384" width="8" style="339"/>
  </cols>
  <sheetData>
    <row r="1" spans="1:11" s="337" customFormat="1" ht="19.5" customHeight="1">
      <c r="A1" s="537" t="s">
        <v>137</v>
      </c>
      <c r="B1" s="537"/>
      <c r="C1" s="537"/>
      <c r="D1" s="537"/>
      <c r="E1" s="537"/>
      <c r="F1" s="537"/>
      <c r="G1" s="537"/>
      <c r="H1" s="537"/>
      <c r="I1" s="26"/>
    </row>
    <row r="2" spans="1:11" s="337" customFormat="1" ht="19.5" customHeight="1">
      <c r="A2" s="537" t="s">
        <v>138</v>
      </c>
      <c r="B2" s="537"/>
      <c r="C2" s="537"/>
      <c r="D2" s="537"/>
      <c r="E2" s="537"/>
      <c r="F2" s="537"/>
      <c r="G2" s="537"/>
      <c r="H2" s="537"/>
      <c r="I2" s="26"/>
    </row>
    <row r="3" spans="1:11" s="337" customFormat="1" ht="19.5" customHeight="1">
      <c r="A3" s="548" t="s">
        <v>139</v>
      </c>
      <c r="B3" s="548"/>
      <c r="C3" s="548"/>
      <c r="D3" s="548"/>
      <c r="E3" s="548"/>
      <c r="F3" s="548"/>
      <c r="G3" s="548"/>
      <c r="H3" s="548"/>
      <c r="I3" s="26"/>
    </row>
    <row r="4" spans="1:11" ht="15">
      <c r="A4" s="338"/>
      <c r="B4" s="169" t="s">
        <v>0</v>
      </c>
      <c r="C4" s="170" t="s">
        <v>1</v>
      </c>
      <c r="D4" s="170" t="s">
        <v>2</v>
      </c>
      <c r="E4" s="170" t="s">
        <v>3</v>
      </c>
      <c r="F4" s="170" t="s">
        <v>4</v>
      </c>
      <c r="G4" s="170" t="s">
        <v>6</v>
      </c>
      <c r="H4" s="170" t="s">
        <v>7</v>
      </c>
      <c r="I4" s="26"/>
    </row>
    <row r="5" spans="1:11" ht="15" customHeight="1">
      <c r="A5" s="338"/>
      <c r="B5" s="340"/>
      <c r="C5" s="530" t="s">
        <v>423</v>
      </c>
      <c r="D5" s="532" t="s">
        <v>13</v>
      </c>
      <c r="E5" s="532" t="s">
        <v>10</v>
      </c>
      <c r="F5" s="533"/>
      <c r="G5" s="324" t="s">
        <v>9</v>
      </c>
      <c r="H5" s="528" t="s">
        <v>424</v>
      </c>
      <c r="I5" s="26"/>
    </row>
    <row r="6" spans="1:11" ht="15">
      <c r="A6" s="338"/>
      <c r="B6" s="341"/>
      <c r="C6" s="531"/>
      <c r="D6" s="540"/>
      <c r="E6" s="18" t="s">
        <v>14</v>
      </c>
      <c r="F6" s="18" t="s">
        <v>15</v>
      </c>
      <c r="G6" s="18" t="s">
        <v>20</v>
      </c>
      <c r="H6" s="529"/>
      <c r="I6" s="26"/>
    </row>
    <row r="7" spans="1:11" ht="15">
      <c r="A7" s="338"/>
      <c r="B7" s="340"/>
      <c r="C7" s="240"/>
      <c r="D7" s="145"/>
      <c r="E7" s="145"/>
      <c r="F7" s="145"/>
      <c r="G7" s="145"/>
      <c r="H7" s="241"/>
      <c r="I7" s="26"/>
    </row>
    <row r="8" spans="1:11" ht="15" customHeight="1">
      <c r="A8" s="325">
        <f>MAX($A$4:A6)+1</f>
        <v>1</v>
      </c>
      <c r="B8" s="12" t="s">
        <v>448</v>
      </c>
      <c r="C8" s="342"/>
      <c r="D8" s="342"/>
      <c r="E8" s="342"/>
      <c r="F8" s="342"/>
      <c r="G8" s="342"/>
      <c r="H8" s="343"/>
      <c r="I8" s="26"/>
    </row>
    <row r="9" spans="1:11" ht="15" customHeight="1">
      <c r="A9" s="325">
        <f>MAX($A$4:A8)+1</f>
        <v>2</v>
      </c>
      <c r="B9" s="344" t="s">
        <v>25</v>
      </c>
      <c r="C9" s="577">
        <f>'T-1'!D16</f>
        <v>23806.973617276795</v>
      </c>
      <c r="D9" s="577">
        <f>'T-1'!E16</f>
        <v>1018533.0287041062</v>
      </c>
      <c r="E9" s="577">
        <f>'T-1'!F16</f>
        <v>123653.54212882598</v>
      </c>
      <c r="F9" s="577">
        <f>'T-1'!G16</f>
        <v>12691.692064230399</v>
      </c>
      <c r="G9" s="577">
        <f>'T-1'!H16</f>
        <v>1258.7585056635771</v>
      </c>
      <c r="H9" s="577">
        <f>'T-1'!I16</f>
        <v>358192.00000337017</v>
      </c>
      <c r="I9" s="26"/>
    </row>
    <row r="10" spans="1:11" ht="15" customHeight="1">
      <c r="A10" s="325">
        <f>MAX($A$4:A9)+1</f>
        <v>3</v>
      </c>
      <c r="B10" s="345" t="s">
        <v>26</v>
      </c>
      <c r="C10" s="577">
        <f>-'T-2'!C118</f>
        <v>-293.11422900837783</v>
      </c>
      <c r="D10" s="577">
        <f>-'T-2'!D118</f>
        <v>-20426.029552954275</v>
      </c>
      <c r="E10" s="577">
        <f>-'T-2'!E118</f>
        <v>-9066.5875183965327</v>
      </c>
      <c r="F10" s="577">
        <f>-'T-2'!F118</f>
        <v>-844.16862827012665</v>
      </c>
      <c r="G10" s="577">
        <f>-'T-2'!G118</f>
        <v>-2042.1669582457648</v>
      </c>
      <c r="H10" s="577">
        <f>-'T-2'!H118</f>
        <v>-2799.1722031249283</v>
      </c>
      <c r="I10" s="26"/>
      <c r="J10" s="346"/>
    </row>
    <row r="11" spans="1:11" ht="15" customHeight="1">
      <c r="A11" s="325">
        <f>MAX($A$4:A10)+1</f>
        <v>4</v>
      </c>
      <c r="B11" s="345" t="s">
        <v>229</v>
      </c>
      <c r="C11" s="578">
        <v>0</v>
      </c>
      <c r="D11" s="578">
        <v>0</v>
      </c>
      <c r="E11" s="578">
        <v>0</v>
      </c>
      <c r="F11" s="578">
        <v>0</v>
      </c>
      <c r="G11" s="578">
        <v>0</v>
      </c>
      <c r="H11" s="578">
        <v>-3830.3449999999998</v>
      </c>
      <c r="I11" s="26"/>
    </row>
    <row r="12" spans="1:11" ht="15" customHeight="1">
      <c r="A12" s="325">
        <f>MAX($A$4:A11)+1</f>
        <v>5</v>
      </c>
      <c r="B12" s="345" t="s">
        <v>228</v>
      </c>
      <c r="C12" s="578">
        <v>0</v>
      </c>
      <c r="D12" s="578">
        <v>0</v>
      </c>
      <c r="E12" s="578">
        <v>0</v>
      </c>
      <c r="F12" s="578">
        <v>0</v>
      </c>
      <c r="G12" s="578">
        <v>0</v>
      </c>
      <c r="H12" s="578">
        <v>-1621.2533999999998</v>
      </c>
      <c r="I12" s="26"/>
    </row>
    <row r="13" spans="1:11" ht="15" customHeight="1">
      <c r="A13" s="325">
        <f>MAX($A$4:A12)+1</f>
        <v>6</v>
      </c>
      <c r="B13" s="345" t="s">
        <v>109</v>
      </c>
      <c r="C13" s="578">
        <v>0</v>
      </c>
      <c r="D13" s="578">
        <v>0</v>
      </c>
      <c r="E13" s="578">
        <v>0</v>
      </c>
      <c r="F13" s="578">
        <f>-'T-10'!G43</f>
        <v>-791.34000000000015</v>
      </c>
      <c r="G13" s="578">
        <v>0</v>
      </c>
      <c r="H13" s="578">
        <v>0</v>
      </c>
      <c r="I13" s="26"/>
    </row>
    <row r="14" spans="1:11" ht="15" customHeight="1">
      <c r="A14" s="325">
        <f>MAX($A$4:A13)+1</f>
        <v>7</v>
      </c>
      <c r="B14" s="345" t="s">
        <v>218</v>
      </c>
      <c r="C14" s="578">
        <v>0</v>
      </c>
      <c r="D14" s="578">
        <v>0</v>
      </c>
      <c r="E14" s="578">
        <v>0</v>
      </c>
      <c r="F14" s="578">
        <f>-'T-10'!G142</f>
        <v>-11418.000000000002</v>
      </c>
      <c r="G14" s="578">
        <v>0</v>
      </c>
      <c r="H14" s="578">
        <v>0</v>
      </c>
      <c r="I14" s="26"/>
    </row>
    <row r="15" spans="1:11" ht="15" customHeight="1">
      <c r="A15" s="325">
        <f>MAX($A$4:A14)+1</f>
        <v>8</v>
      </c>
      <c r="B15" s="345" t="s">
        <v>405</v>
      </c>
      <c r="C15" s="578">
        <f>-$F15*C61</f>
        <v>-7.5112018728970265</v>
      </c>
      <c r="D15" s="578">
        <f>-$F15*D61</f>
        <v>-303.86971918898382</v>
      </c>
      <c r="E15" s="578">
        <f>-$F15*E61</f>
        <v>-37.664668923910696</v>
      </c>
      <c r="F15" s="578">
        <f>-(F9+F10+F13+F14)</f>
        <v>361.8165640397292</v>
      </c>
      <c r="G15" s="578">
        <f>-$F15*G61</f>
        <v>-0.30768233391855748</v>
      </c>
      <c r="H15" s="578">
        <f>-$F15*H61</f>
        <v>-12.463291720019114</v>
      </c>
      <c r="I15" s="26"/>
    </row>
    <row r="16" spans="1:11" ht="15" customHeight="1">
      <c r="A16" s="325">
        <f>MAX($A$4:A15)+1</f>
        <v>9</v>
      </c>
      <c r="B16" s="345" t="s">
        <v>406</v>
      </c>
      <c r="C16" s="578">
        <f>-$G16*C69</f>
        <v>-16.283555946467519</v>
      </c>
      <c r="D16" s="578">
        <f>-$G16*D69</f>
        <v>-658.76003022972247</v>
      </c>
      <c r="E16" s="578">
        <f>-$G16*E69</f>
        <v>-81.653343100885735</v>
      </c>
      <c r="F16" s="578">
        <f>-$G16*F69</f>
        <v>0</v>
      </c>
      <c r="G16" s="578">
        <f>-SUM(G9:G15)</f>
        <v>783.71613491610628</v>
      </c>
      <c r="H16" s="578">
        <f>-$G16*H69</f>
        <v>-27.019205639030613</v>
      </c>
      <c r="I16" s="26"/>
      <c r="J16" s="346"/>
      <c r="K16" s="346"/>
    </row>
    <row r="17" spans="1:11" s="349" customFormat="1" ht="15" customHeight="1">
      <c r="A17" s="325">
        <f>MAX($A$4:A16)+1</f>
        <v>10</v>
      </c>
      <c r="B17" s="347" t="s">
        <v>12</v>
      </c>
      <c r="C17" s="348">
        <f>SUM(C9:C16)</f>
        <v>23490.064630449051</v>
      </c>
      <c r="D17" s="348">
        <f t="shared" ref="D17:G17" si="0">SUM(D9:D16)</f>
        <v>997144.36940173327</v>
      </c>
      <c r="E17" s="348">
        <f t="shared" si="0"/>
        <v>114467.63659840464</v>
      </c>
      <c r="F17" s="348">
        <f t="shared" si="0"/>
        <v>0</v>
      </c>
      <c r="G17" s="348">
        <f t="shared" si="0"/>
        <v>0</v>
      </c>
      <c r="H17" s="348">
        <f>SUM(H9:H16)</f>
        <v>349901.74690288625</v>
      </c>
      <c r="I17" s="26"/>
      <c r="K17" s="346"/>
    </row>
    <row r="18" spans="1:11" s="349" customFormat="1" ht="15" customHeight="1">
      <c r="A18" s="325"/>
      <c r="B18" s="347"/>
      <c r="C18" s="350"/>
      <c r="D18" s="350"/>
      <c r="E18" s="350"/>
      <c r="F18" s="350"/>
      <c r="G18" s="350"/>
      <c r="H18" s="350"/>
      <c r="I18" s="26"/>
      <c r="K18" s="346"/>
    </row>
    <row r="19" spans="1:11" ht="15" customHeight="1">
      <c r="A19" s="325">
        <f>MAX($A$4:A18)+1</f>
        <v>11</v>
      </c>
      <c r="B19" s="12" t="s">
        <v>449</v>
      </c>
      <c r="C19" s="351"/>
      <c r="D19" s="351"/>
      <c r="E19" s="351"/>
      <c r="F19" s="351"/>
      <c r="G19" s="351"/>
      <c r="H19" s="351"/>
      <c r="I19" s="26"/>
      <c r="K19" s="346"/>
    </row>
    <row r="20" spans="1:11" ht="15" customHeight="1">
      <c r="A20" s="325">
        <f>MAX($A$4:A19)+1</f>
        <v>12</v>
      </c>
      <c r="B20" s="344" t="str">
        <f>B9</f>
        <v>Unadjusted Costs (Table 1)</v>
      </c>
      <c r="C20" s="578">
        <f>'T-1'!D26</f>
        <v>24896.61768769849</v>
      </c>
      <c r="D20" s="578">
        <f>'T-1'!E26</f>
        <v>1114097.1619257196</v>
      </c>
      <c r="E20" s="578">
        <f>'T-1'!F26</f>
        <v>129051.42703101436</v>
      </c>
      <c r="F20" s="578">
        <f>'T-1'!G26</f>
        <v>13159.696492525405</v>
      </c>
      <c r="G20" s="578">
        <f>'T-1'!H26</f>
        <v>1330.6136638908358</v>
      </c>
      <c r="H20" s="578">
        <f>'T-1'!I26</f>
        <v>379922.97133233486</v>
      </c>
      <c r="I20" s="26"/>
    </row>
    <row r="21" spans="1:11" ht="15" customHeight="1">
      <c r="A21" s="325">
        <f>MAX($A$4:A20)+1</f>
        <v>13</v>
      </c>
      <c r="B21" s="344" t="str">
        <f t="shared" ref="B21:B27" si="1">B10</f>
        <v>Revenue Credits (Table 2)</v>
      </c>
      <c r="C21" s="578">
        <f>-'T-2'!C146</f>
        <v>-281.58170885520428</v>
      </c>
      <c r="D21" s="578">
        <f>-'T-2'!D146</f>
        <v>-18380.824749873656</v>
      </c>
      <c r="E21" s="578">
        <f>-'T-2'!E146</f>
        <v>-9008.6919253184606</v>
      </c>
      <c r="F21" s="578">
        <f>-'T-2'!F146</f>
        <v>-838.28693172597468</v>
      </c>
      <c r="G21" s="578">
        <f>-'T-2'!G146</f>
        <v>-395.79618621020842</v>
      </c>
      <c r="H21" s="578">
        <f>-'T-2'!H146</f>
        <v>-2689.0393380164969</v>
      </c>
      <c r="I21" s="26"/>
      <c r="J21" s="346"/>
    </row>
    <row r="22" spans="1:11" ht="15" customHeight="1">
      <c r="A22" s="325">
        <f>MAX($A$4:A21)+1</f>
        <v>14</v>
      </c>
      <c r="B22" s="344" t="str">
        <f t="shared" si="1"/>
        <v>Regional Compliance Enforcement</v>
      </c>
      <c r="C22" s="578">
        <v>0</v>
      </c>
      <c r="D22" s="578">
        <v>0</v>
      </c>
      <c r="E22" s="578">
        <v>0</v>
      </c>
      <c r="F22" s="578">
        <v>0</v>
      </c>
      <c r="G22" s="578">
        <v>0</v>
      </c>
      <c r="H22" s="578">
        <v>-3830.3449999999998</v>
      </c>
      <c r="I22" s="26"/>
    </row>
    <row r="23" spans="1:11" ht="15" customHeight="1">
      <c r="A23" s="325">
        <f>MAX($A$4:A22)+1</f>
        <v>15</v>
      </c>
      <c r="B23" s="344" t="str">
        <f t="shared" si="1"/>
        <v>Regional Coordinator</v>
      </c>
      <c r="C23" s="578">
        <v>0</v>
      </c>
      <c r="D23" s="578">
        <v>0</v>
      </c>
      <c r="E23" s="578">
        <v>0</v>
      </c>
      <c r="F23" s="578">
        <v>0</v>
      </c>
      <c r="G23" s="578">
        <v>0</v>
      </c>
      <c r="H23" s="578">
        <v>-1621.2533999999998</v>
      </c>
      <c r="I23" s="26"/>
    </row>
    <row r="24" spans="1:11" ht="15" customHeight="1">
      <c r="A24" s="325">
        <f>MAX($A$4:A23)+1</f>
        <v>16</v>
      </c>
      <c r="B24" s="344" t="str">
        <f t="shared" si="1"/>
        <v>IM Tx Revenues</v>
      </c>
      <c r="C24" s="578">
        <v>0</v>
      </c>
      <c r="D24" s="578">
        <v>0</v>
      </c>
      <c r="E24" s="578">
        <v>0</v>
      </c>
      <c r="F24" s="578">
        <f>-'T-10'!H43</f>
        <v>-1221.8900000000003</v>
      </c>
      <c r="G24" s="578">
        <v>0</v>
      </c>
      <c r="H24" s="578">
        <v>0</v>
      </c>
      <c r="I24" s="26"/>
    </row>
    <row r="25" spans="1:11" ht="15" customHeight="1">
      <c r="A25" s="325">
        <f>MAX($A$4:A24)+1</f>
        <v>17</v>
      </c>
      <c r="B25" s="344" t="str">
        <f t="shared" si="1"/>
        <v>TGT Revenues</v>
      </c>
      <c r="C25" s="578">
        <v>0</v>
      </c>
      <c r="D25" s="578">
        <v>0</v>
      </c>
      <c r="E25" s="578">
        <v>0</v>
      </c>
      <c r="F25" s="578">
        <f>-'T-10'!H142</f>
        <v>-11418.000000000002</v>
      </c>
      <c r="G25" s="578">
        <v>0</v>
      </c>
      <c r="H25" s="578">
        <v>0</v>
      </c>
      <c r="I25" s="26"/>
    </row>
    <row r="26" spans="1:11" ht="15" customHeight="1">
      <c r="A26" s="325">
        <f>MAX($A$4:A25)+1</f>
        <v>18</v>
      </c>
      <c r="B26" s="344" t="str">
        <f t="shared" si="1"/>
        <v>Eastern Intertie Adjustment 1/</v>
      </c>
      <c r="C26" s="578">
        <f>-$F26*C63</f>
        <v>-5.8818767685596214</v>
      </c>
      <c r="D26" s="578">
        <f>-$F26*D63</f>
        <v>-268.16535281781381</v>
      </c>
      <c r="E26" s="578">
        <f>-$F26*E63</f>
        <v>-29.523617615948666</v>
      </c>
      <c r="F26" s="578">
        <f>-(F20+F21+F24+F25)</f>
        <v>318.48043920056989</v>
      </c>
      <c r="G26" s="578">
        <f>-$F26*G63</f>
        <v>-0.24214204681554061</v>
      </c>
      <c r="H26" s="578">
        <f>-$F26*H63</f>
        <v>-14.667449951432232</v>
      </c>
      <c r="I26" s="26"/>
    </row>
    <row r="27" spans="1:11" ht="15" customHeight="1">
      <c r="A27" s="325">
        <f>MAX($A$4:A26)+1</f>
        <v>19</v>
      </c>
      <c r="B27" s="344" t="str">
        <f t="shared" si="1"/>
        <v>Industry Delivery Adjustment 1/</v>
      </c>
      <c r="C27" s="578">
        <f>-$G27*C71</f>
        <v>17.273398595636241</v>
      </c>
      <c r="D27" s="578">
        <f>-$G27*D71</f>
        <v>787.52534455016428</v>
      </c>
      <c r="E27" s="578">
        <f>-$G27*E71</f>
        <v>86.702465068868392</v>
      </c>
      <c r="F27" s="578">
        <f>-$G27*F71</f>
        <v>0</v>
      </c>
      <c r="G27" s="578">
        <f>-SUM(G20:G26)</f>
        <v>-934.57533563381196</v>
      </c>
      <c r="H27" s="578">
        <f>-$G27*H71</f>
        <v>43.074127419143025</v>
      </c>
      <c r="I27" s="26"/>
      <c r="J27" s="346"/>
      <c r="K27" s="346"/>
    </row>
    <row r="28" spans="1:11" s="349" customFormat="1" ht="15" customHeight="1">
      <c r="A28" s="325">
        <f>MAX($A$4:A27)+1</f>
        <v>20</v>
      </c>
      <c r="B28" s="347" t="s">
        <v>12</v>
      </c>
      <c r="C28" s="348">
        <f>SUM(C20:C27)</f>
        <v>24626.427500670365</v>
      </c>
      <c r="D28" s="348">
        <f t="shared" ref="D28:H28" si="2">SUM(D20:D27)</f>
        <v>1096235.6971675782</v>
      </c>
      <c r="E28" s="348">
        <f>SUM(E20:E27)</f>
        <v>120099.91395314882</v>
      </c>
      <c r="F28" s="348">
        <f t="shared" si="2"/>
        <v>0</v>
      </c>
      <c r="G28" s="348">
        <f t="shared" si="2"/>
        <v>0</v>
      </c>
      <c r="H28" s="348">
        <f t="shared" si="2"/>
        <v>371810.74027178617</v>
      </c>
      <c r="I28" s="26"/>
      <c r="K28" s="346"/>
    </row>
    <row r="29" spans="1:11" s="349" customFormat="1" ht="15" customHeight="1">
      <c r="A29" s="325"/>
      <c r="B29" s="347"/>
      <c r="C29" s="350"/>
      <c r="D29" s="350"/>
      <c r="E29" s="350"/>
      <c r="F29" s="350"/>
      <c r="G29" s="350"/>
      <c r="H29" s="350"/>
      <c r="I29" s="26"/>
      <c r="K29" s="346"/>
    </row>
    <row r="30" spans="1:11" s="349" customFormat="1" ht="15" customHeight="1">
      <c r="A30" s="325">
        <f>MAX($A$4:A29)+1</f>
        <v>21</v>
      </c>
      <c r="B30" s="12" t="s">
        <v>450</v>
      </c>
      <c r="C30" s="351"/>
      <c r="D30" s="351"/>
      <c r="E30" s="351"/>
      <c r="F30" s="351"/>
      <c r="G30" s="351"/>
      <c r="H30" s="351"/>
      <c r="I30" s="26"/>
      <c r="K30" s="346"/>
    </row>
    <row r="31" spans="1:11" s="349" customFormat="1" ht="15" customHeight="1">
      <c r="A31" s="325">
        <f>MAX($A$4:A30)+1</f>
        <v>22</v>
      </c>
      <c r="B31" s="344" t="str">
        <f>B9</f>
        <v>Unadjusted Costs (Table 1)</v>
      </c>
      <c r="C31" s="578">
        <f>'T-1'!D36</f>
        <v>26629.865267370045</v>
      </c>
      <c r="D31" s="578">
        <f>'T-1'!E36</f>
        <v>1262025.7109210985</v>
      </c>
      <c r="E31" s="578">
        <f>'T-1'!F36</f>
        <v>137750.28916688112</v>
      </c>
      <c r="F31" s="578">
        <f>'T-1'!G36</f>
        <v>13954.377456479342</v>
      </c>
      <c r="G31" s="578">
        <f>'T-1'!H36</f>
        <v>1422.8889541383044</v>
      </c>
      <c r="H31" s="578">
        <f>'T-1'!I36</f>
        <v>397160.47456498694</v>
      </c>
      <c r="I31" s="26"/>
      <c r="K31" s="346"/>
    </row>
    <row r="32" spans="1:11" s="349" customFormat="1" ht="15" customHeight="1">
      <c r="A32" s="325">
        <f>MAX($A$4:A31)+1</f>
        <v>23</v>
      </c>
      <c r="B32" s="344" t="str">
        <f t="shared" ref="B32:B38" si="3">B10</f>
        <v>Revenue Credits (Table 2)</v>
      </c>
      <c r="C32" s="578">
        <f>-'T-2'!C174</f>
        <v>-279.59771724588666</v>
      </c>
      <c r="D32" s="578">
        <f>-'T-2'!D174</f>
        <v>-18289.810779264968</v>
      </c>
      <c r="E32" s="578">
        <f>-'T-2'!E174</f>
        <v>-8998.7318845504615</v>
      </c>
      <c r="F32" s="578">
        <f>-'T-2'!F174</f>
        <v>-837.27507686362367</v>
      </c>
      <c r="G32" s="578">
        <f>-'T-2'!G174</f>
        <v>-395.7145090292999</v>
      </c>
      <c r="H32" s="578">
        <f>-'T-2'!H174</f>
        <v>-2670.0926830457611</v>
      </c>
      <c r="I32" s="26"/>
      <c r="K32" s="346"/>
    </row>
    <row r="33" spans="1:11" s="349" customFormat="1" ht="15" customHeight="1">
      <c r="A33" s="325">
        <f>MAX($A$4:A32)+1</f>
        <v>24</v>
      </c>
      <c r="B33" s="344" t="str">
        <f t="shared" si="3"/>
        <v>Regional Compliance Enforcement</v>
      </c>
      <c r="C33" s="578">
        <v>0</v>
      </c>
      <c r="D33" s="578">
        <v>0</v>
      </c>
      <c r="E33" s="578">
        <v>0</v>
      </c>
      <c r="F33" s="578">
        <v>0</v>
      </c>
      <c r="G33" s="578">
        <v>0</v>
      </c>
      <c r="H33" s="578">
        <v>-3830.3449999999998</v>
      </c>
      <c r="I33" s="26"/>
      <c r="K33" s="346"/>
    </row>
    <row r="34" spans="1:11" s="349" customFormat="1" ht="15" customHeight="1">
      <c r="A34" s="325">
        <f>MAX($A$4:A33)+1</f>
        <v>25</v>
      </c>
      <c r="B34" s="344" t="str">
        <f t="shared" si="3"/>
        <v>Regional Coordinator</v>
      </c>
      <c r="C34" s="578">
        <v>0</v>
      </c>
      <c r="D34" s="578">
        <v>0</v>
      </c>
      <c r="E34" s="578">
        <v>0</v>
      </c>
      <c r="F34" s="578">
        <v>0</v>
      </c>
      <c r="G34" s="578">
        <v>0</v>
      </c>
      <c r="H34" s="578">
        <v>-1621.2533999999998</v>
      </c>
      <c r="I34" s="26"/>
      <c r="K34" s="346"/>
    </row>
    <row r="35" spans="1:11" s="349" customFormat="1" ht="15" customHeight="1">
      <c r="A35" s="325">
        <f>MAX($A$4:A34)+1</f>
        <v>26</v>
      </c>
      <c r="B35" s="344" t="str">
        <f t="shared" si="3"/>
        <v>IM Tx Revenues</v>
      </c>
      <c r="C35" s="578">
        <v>0</v>
      </c>
      <c r="D35" s="578">
        <v>0</v>
      </c>
      <c r="E35" s="578">
        <v>0</v>
      </c>
      <c r="F35" s="578">
        <f>-'T-10'!I43</f>
        <v>-12622.2</v>
      </c>
      <c r="G35" s="578">
        <v>0</v>
      </c>
      <c r="H35" s="578">
        <v>0</v>
      </c>
      <c r="I35" s="26"/>
      <c r="K35" s="346"/>
    </row>
    <row r="36" spans="1:11" s="349" customFormat="1" ht="15" customHeight="1">
      <c r="A36" s="325">
        <f>MAX($A$4:A35)+1</f>
        <v>27</v>
      </c>
      <c r="B36" s="344" t="str">
        <f t="shared" si="3"/>
        <v>TGT Revenues</v>
      </c>
      <c r="C36" s="578">
        <v>0</v>
      </c>
      <c r="D36" s="578">
        <v>0</v>
      </c>
      <c r="E36" s="578">
        <v>0</v>
      </c>
      <c r="F36" s="578">
        <f>-'T-10'!I142</f>
        <v>0</v>
      </c>
      <c r="G36" s="578">
        <v>0</v>
      </c>
      <c r="H36" s="578">
        <v>0</v>
      </c>
      <c r="I36" s="26"/>
      <c r="K36" s="346"/>
    </row>
    <row r="37" spans="1:11" s="349" customFormat="1" ht="15" customHeight="1">
      <c r="A37" s="325">
        <f>MAX($A$4:A36)+1</f>
        <v>28</v>
      </c>
      <c r="B37" s="344" t="str">
        <f t="shared" si="3"/>
        <v>Eastern Intertie Adjustment 1/</v>
      </c>
      <c r="C37" s="578">
        <f>-$F37*C65</f>
        <v>8.027929305023223</v>
      </c>
      <c r="D37" s="578">
        <f t="shared" ref="D37:H37" si="4">-$F37*D65</f>
        <v>417.89562304756726</v>
      </c>
      <c r="E37" s="578">
        <f t="shared" si="4"/>
        <v>40.358422685701186</v>
      </c>
      <c r="F37" s="578">
        <f>-(F31+F32+F35+F36)</f>
        <v>-494.90237961571802</v>
      </c>
      <c r="G37" s="578">
        <f t="shared" si="4"/>
        <v>0.33228734298862206</v>
      </c>
      <c r="H37" s="578">
        <f t="shared" si="4"/>
        <v>28.288117234437753</v>
      </c>
      <c r="I37" s="26"/>
      <c r="K37" s="346"/>
    </row>
    <row r="38" spans="1:11" s="349" customFormat="1" ht="15" customHeight="1">
      <c r="A38" s="325">
        <f>MAX($A$4:A37)+1</f>
        <v>29</v>
      </c>
      <c r="B38" s="344" t="str">
        <f t="shared" si="3"/>
        <v>Industry Delivery Adjustment 1/</v>
      </c>
      <c r="C38" s="578">
        <f>-$G38*C73</f>
        <v>16.678629657232204</v>
      </c>
      <c r="D38" s="578">
        <f>-$G38*D73</f>
        <v>868.20972972787308</v>
      </c>
      <c r="E38" s="578">
        <f>-$G38*E73</f>
        <v>83.847672288751113</v>
      </c>
      <c r="F38" s="578">
        <f>-$G38*F73</f>
        <v>0</v>
      </c>
      <c r="G38" s="578">
        <f>-SUM(G31:G37)</f>
        <v>-1027.506732451993</v>
      </c>
      <c r="H38" s="578">
        <f>-$G38*H73</f>
        <v>58.770700778136721</v>
      </c>
      <c r="I38" s="26"/>
      <c r="K38" s="346"/>
    </row>
    <row r="39" spans="1:11" s="349" customFormat="1" ht="15" customHeight="1">
      <c r="A39" s="325">
        <f>MAX($A$4:A38)+1</f>
        <v>30</v>
      </c>
      <c r="B39" s="347" t="s">
        <v>12</v>
      </c>
      <c r="C39" s="348">
        <f>SUM(C31:C38)</f>
        <v>26374.974109086412</v>
      </c>
      <c r="D39" s="348">
        <f t="shared" ref="D39:H39" si="5">SUM(D31:D38)</f>
        <v>1245022.005494609</v>
      </c>
      <c r="E39" s="348">
        <f t="shared" si="5"/>
        <v>128875.76337730512</v>
      </c>
      <c r="F39" s="348">
        <f t="shared" si="5"/>
        <v>0</v>
      </c>
      <c r="G39" s="348">
        <f t="shared" si="5"/>
        <v>0</v>
      </c>
      <c r="H39" s="348">
        <f t="shared" si="5"/>
        <v>389125.84229995374</v>
      </c>
      <c r="I39" s="26"/>
      <c r="K39" s="346"/>
    </row>
    <row r="40" spans="1:11" s="349" customFormat="1" ht="15" customHeight="1">
      <c r="A40" s="325"/>
      <c r="B40" s="347"/>
      <c r="C40" s="350"/>
      <c r="D40" s="350"/>
      <c r="E40" s="350"/>
      <c r="F40" s="350"/>
      <c r="G40" s="350"/>
      <c r="H40" s="350"/>
      <c r="I40" s="26"/>
      <c r="K40" s="346"/>
    </row>
    <row r="41" spans="1:11" ht="15" customHeight="1">
      <c r="A41" s="325">
        <f>MAX($A$4:A40)+1</f>
        <v>31</v>
      </c>
      <c r="B41" s="12" t="s">
        <v>451</v>
      </c>
      <c r="C41" s="351"/>
      <c r="D41" s="351"/>
      <c r="E41" s="351"/>
      <c r="F41" s="351"/>
      <c r="G41" s="351"/>
      <c r="H41" s="351"/>
      <c r="I41" s="26"/>
      <c r="K41" s="346"/>
    </row>
    <row r="42" spans="1:11" ht="15" customHeight="1">
      <c r="A42" s="325">
        <f>MAX($A$4:A41)+1</f>
        <v>32</v>
      </c>
      <c r="B42" s="344" t="str">
        <f t="shared" ref="B42:B49" si="6">B9</f>
        <v>Unadjusted Costs (Table 1)</v>
      </c>
      <c r="C42" s="352">
        <f>AVERAGE(C9,C20,C31)</f>
        <v>25111.152190781777</v>
      </c>
      <c r="D42" s="352">
        <f>AVERAGE(D9,D20,D31)</f>
        <v>1131551.9671836414</v>
      </c>
      <c r="E42" s="352">
        <f>AVERAGE(E9,E20,E31)</f>
        <v>130151.75277557383</v>
      </c>
      <c r="F42" s="352">
        <f t="shared" ref="F42:H42" si="7">AVERAGE(F9,F20,F31)</f>
        <v>13268.588671078382</v>
      </c>
      <c r="G42" s="352">
        <f t="shared" si="7"/>
        <v>1337.420374564239</v>
      </c>
      <c r="H42" s="352">
        <f t="shared" si="7"/>
        <v>378425.14863356395</v>
      </c>
      <c r="I42" s="26"/>
    </row>
    <row r="43" spans="1:11" ht="15" customHeight="1">
      <c r="A43" s="325">
        <f>MAX($A$4:A42)+1</f>
        <v>33</v>
      </c>
      <c r="B43" s="344" t="str">
        <f t="shared" si="6"/>
        <v>Revenue Credits (Table 2)</v>
      </c>
      <c r="C43" s="352">
        <f t="shared" ref="C43:H49" si="8">AVERAGE(C10,C21,C32)</f>
        <v>-284.76455170315626</v>
      </c>
      <c r="D43" s="352">
        <f t="shared" si="8"/>
        <v>-19032.221694030966</v>
      </c>
      <c r="E43" s="352">
        <f t="shared" si="8"/>
        <v>-9024.6704427551522</v>
      </c>
      <c r="F43" s="352">
        <f t="shared" si="8"/>
        <v>-839.91021228657507</v>
      </c>
      <c r="G43" s="352">
        <f t="shared" si="8"/>
        <v>-944.55921782842427</v>
      </c>
      <c r="H43" s="352">
        <f>AVERAGE(H10,H21,H32)</f>
        <v>-2719.4347413957289</v>
      </c>
      <c r="I43" s="26"/>
    </row>
    <row r="44" spans="1:11" ht="15" customHeight="1">
      <c r="A44" s="325">
        <f>MAX($A$4:A43)+1</f>
        <v>34</v>
      </c>
      <c r="B44" s="344" t="str">
        <f t="shared" si="6"/>
        <v>Regional Compliance Enforcement</v>
      </c>
      <c r="C44" s="352">
        <f t="shared" si="8"/>
        <v>0</v>
      </c>
      <c r="D44" s="352">
        <f t="shared" si="8"/>
        <v>0</v>
      </c>
      <c r="E44" s="352">
        <f t="shared" si="8"/>
        <v>0</v>
      </c>
      <c r="F44" s="352">
        <f t="shared" si="8"/>
        <v>0</v>
      </c>
      <c r="G44" s="352">
        <f t="shared" si="8"/>
        <v>0</v>
      </c>
      <c r="H44" s="352">
        <f>AVERAGE(H11,H22,H33)</f>
        <v>-3830.3449999999998</v>
      </c>
      <c r="I44" s="26"/>
    </row>
    <row r="45" spans="1:11" ht="15" customHeight="1">
      <c r="A45" s="325">
        <f>MAX($A$4:A44)+1</f>
        <v>35</v>
      </c>
      <c r="B45" s="344" t="str">
        <f t="shared" si="6"/>
        <v>Regional Coordinator</v>
      </c>
      <c r="C45" s="352">
        <f t="shared" si="8"/>
        <v>0</v>
      </c>
      <c r="D45" s="352">
        <f t="shared" si="8"/>
        <v>0</v>
      </c>
      <c r="E45" s="352">
        <f>AVERAGE(E12,E23,E34)</f>
        <v>0</v>
      </c>
      <c r="F45" s="352">
        <f t="shared" si="8"/>
        <v>0</v>
      </c>
      <c r="G45" s="352">
        <f>AVERAGE(G12,G23,G34)</f>
        <v>0</v>
      </c>
      <c r="H45" s="352">
        <f t="shared" si="8"/>
        <v>-1621.2533999999998</v>
      </c>
      <c r="I45" s="26"/>
    </row>
    <row r="46" spans="1:11" ht="15" customHeight="1">
      <c r="A46" s="325">
        <f>MAX($A$4:A45)+1</f>
        <v>36</v>
      </c>
      <c r="B46" s="344" t="str">
        <f t="shared" si="6"/>
        <v>IM Tx Revenues</v>
      </c>
      <c r="C46" s="352">
        <f t="shared" si="8"/>
        <v>0</v>
      </c>
      <c r="D46" s="352">
        <f t="shared" si="8"/>
        <v>0</v>
      </c>
      <c r="E46" s="352">
        <f t="shared" si="8"/>
        <v>0</v>
      </c>
      <c r="F46" s="352">
        <f>AVERAGE(F13,F24,F35)</f>
        <v>-4878.4766666666665</v>
      </c>
      <c r="G46" s="352">
        <f t="shared" si="8"/>
        <v>0</v>
      </c>
      <c r="H46" s="352">
        <f t="shared" si="8"/>
        <v>0</v>
      </c>
      <c r="I46" s="26"/>
    </row>
    <row r="47" spans="1:11" ht="15" customHeight="1">
      <c r="A47" s="325">
        <f>MAX($A$4:A46)+1</f>
        <v>37</v>
      </c>
      <c r="B47" s="344" t="str">
        <f t="shared" si="6"/>
        <v>TGT Revenues</v>
      </c>
      <c r="C47" s="352">
        <f t="shared" si="8"/>
        <v>0</v>
      </c>
      <c r="D47" s="352">
        <f t="shared" si="8"/>
        <v>0</v>
      </c>
      <c r="E47" s="352">
        <f t="shared" si="8"/>
        <v>0</v>
      </c>
      <c r="F47" s="352">
        <f>AVERAGE(F14,F25,F36)</f>
        <v>-7612.0000000000009</v>
      </c>
      <c r="G47" s="352">
        <f t="shared" si="8"/>
        <v>0</v>
      </c>
      <c r="H47" s="352">
        <f t="shared" si="8"/>
        <v>0</v>
      </c>
      <c r="I47" s="26"/>
    </row>
    <row r="48" spans="1:11" ht="15" customHeight="1">
      <c r="A48" s="325">
        <f>MAX($A$4:A47)+1</f>
        <v>38</v>
      </c>
      <c r="B48" s="344" t="str">
        <f t="shared" si="6"/>
        <v>Eastern Intertie Adjustment 1/</v>
      </c>
      <c r="C48" s="352">
        <f t="shared" si="8"/>
        <v>-1.7883831121444747</v>
      </c>
      <c r="D48" s="352">
        <f t="shared" si="8"/>
        <v>-51.379816319743476</v>
      </c>
      <c r="E48" s="352">
        <f t="shared" si="8"/>
        <v>-8.9432879513860595</v>
      </c>
      <c r="F48" s="352">
        <f t="shared" si="8"/>
        <v>61.79820787486036</v>
      </c>
      <c r="G48" s="352">
        <f>AVERAGE(G15,G26,G37)</f>
        <v>-7.2512345915158691E-2</v>
      </c>
      <c r="H48" s="352">
        <f t="shared" si="8"/>
        <v>0.38579185432880198</v>
      </c>
      <c r="I48" s="26"/>
    </row>
    <row r="49" spans="1:10" ht="15" customHeight="1">
      <c r="A49" s="325">
        <f>MAX($A$4:A48)+1</f>
        <v>39</v>
      </c>
      <c r="B49" s="344" t="str">
        <f t="shared" si="6"/>
        <v>Industry Delivery Adjustment 1/</v>
      </c>
      <c r="C49" s="352">
        <f t="shared" si="8"/>
        <v>5.8894907688003082</v>
      </c>
      <c r="D49" s="352">
        <f t="shared" si="8"/>
        <v>332.32501468277161</v>
      </c>
      <c r="E49" s="352">
        <f t="shared" si="8"/>
        <v>29.632264752244591</v>
      </c>
      <c r="F49" s="352">
        <f t="shared" si="8"/>
        <v>0</v>
      </c>
      <c r="G49" s="352">
        <f t="shared" si="8"/>
        <v>-392.7886443898995</v>
      </c>
      <c r="H49" s="352">
        <f t="shared" si="8"/>
        <v>24.941874186083044</v>
      </c>
      <c r="I49" s="26"/>
    </row>
    <row r="50" spans="1:10" s="349" customFormat="1" ht="15" customHeight="1">
      <c r="A50" s="325">
        <f>MAX($A$4:A49)+1</f>
        <v>40</v>
      </c>
      <c r="B50" s="347" t="s">
        <v>12</v>
      </c>
      <c r="C50" s="348">
        <f>SUM(C42:C49)</f>
        <v>24830.488746735278</v>
      </c>
      <c r="D50" s="348">
        <f>SUM(D42:D49)</f>
        <v>1112800.6906879733</v>
      </c>
      <c r="E50" s="348">
        <f t="shared" ref="E50:G50" si="9">SUM(E42:E49)</f>
        <v>121147.77130961954</v>
      </c>
      <c r="F50" s="348">
        <f t="shared" si="9"/>
        <v>-6.0396132539608516E-13</v>
      </c>
      <c r="G50" s="348">
        <f t="shared" si="9"/>
        <v>0</v>
      </c>
      <c r="H50" s="348">
        <f>SUM(H42:H49)</f>
        <v>370279.44315820874</v>
      </c>
      <c r="I50" s="26"/>
    </row>
    <row r="51" spans="1:10" s="349" customFormat="1" ht="15" customHeight="1">
      <c r="A51" s="325"/>
      <c r="B51" s="347"/>
      <c r="C51" s="350"/>
      <c r="D51" s="350"/>
      <c r="E51" s="350"/>
      <c r="F51" s="350"/>
      <c r="G51" s="350"/>
      <c r="H51" s="350"/>
      <c r="I51" s="26"/>
    </row>
    <row r="52" spans="1:10" ht="15" customHeight="1">
      <c r="A52" s="353" t="s">
        <v>27</v>
      </c>
      <c r="B52" s="547" t="s">
        <v>446</v>
      </c>
      <c r="C52" s="547"/>
      <c r="D52" s="547"/>
      <c r="E52" s="547"/>
      <c r="F52" s="547"/>
      <c r="G52" s="547"/>
      <c r="H52" s="547"/>
      <c r="I52" s="26"/>
    </row>
    <row r="53" spans="1:10">
      <c r="A53" s="354"/>
    </row>
    <row r="54" spans="1:10">
      <c r="A54" s="354"/>
      <c r="C54" s="57" t="s">
        <v>306</v>
      </c>
      <c r="D54" s="57" t="s">
        <v>13</v>
      </c>
      <c r="E54" s="57" t="s">
        <v>308</v>
      </c>
      <c r="F54" s="57" t="s">
        <v>309</v>
      </c>
      <c r="G54" s="57" t="s">
        <v>307</v>
      </c>
      <c r="H54" s="57" t="s">
        <v>11</v>
      </c>
      <c r="I54" s="57" t="s">
        <v>12</v>
      </c>
    </row>
    <row r="55" spans="1:10" ht="15">
      <c r="A55" s="354"/>
      <c r="B55" s="339" t="s">
        <v>460</v>
      </c>
      <c r="C55" s="579">
        <f>'T-1'!D9</f>
        <v>150300.57693910119</v>
      </c>
      <c r="D55" s="579">
        <f>'T-1'!E9</f>
        <v>6080490.8297334304</v>
      </c>
      <c r="E55" s="579">
        <f>'T-1'!F9</f>
        <v>753677.18312976067</v>
      </c>
      <c r="F55" s="579">
        <f>'T-1'!G9</f>
        <v>77859.79412678782</v>
      </c>
      <c r="G55" s="579">
        <f>'T-1'!H9</f>
        <v>6156.7819750385715</v>
      </c>
      <c r="H55" s="579">
        <f>'T-1'!I9</f>
        <v>249392.8358973393</v>
      </c>
      <c r="I55" s="356">
        <f>SUM(C55:H55)</f>
        <v>7317878.0018014582</v>
      </c>
    </row>
    <row r="56" spans="1:10" ht="15">
      <c r="A56" s="354"/>
      <c r="B56" s="339" t="s">
        <v>461</v>
      </c>
      <c r="C56" s="579">
        <f>'T-1'!D19</f>
        <v>144702.96083405861</v>
      </c>
      <c r="D56" s="579">
        <f>'T-1'!E19</f>
        <v>6597268.5373600898</v>
      </c>
      <c r="E56" s="579">
        <f>'T-1'!F19</f>
        <v>726325.12574834609</v>
      </c>
      <c r="F56" s="579">
        <f>'T-1'!G19</f>
        <v>73803.458275169367</v>
      </c>
      <c r="G56" s="579">
        <f>'T-1'!H19</f>
        <v>5957.0563096323376</v>
      </c>
      <c r="H56" s="579">
        <f>'T-1'!I19</f>
        <v>360841.19395404489</v>
      </c>
      <c r="I56" s="356">
        <f>SUM(C56:H56)</f>
        <v>7908898.3324813405</v>
      </c>
    </row>
    <row r="57" spans="1:10" ht="15">
      <c r="A57" s="354"/>
      <c r="B57" s="339" t="s">
        <v>462</v>
      </c>
      <c r="C57" s="579">
        <f>'T-1'!D29</f>
        <v>138371.89772904638</v>
      </c>
      <c r="D57" s="579">
        <f>'T-1'!E29</f>
        <v>7202979.5251898784</v>
      </c>
      <c r="E57" s="579">
        <f>'T-1'!F29</f>
        <v>695630.38290299382</v>
      </c>
      <c r="F57" s="579">
        <f>'T-1'!G29</f>
        <v>69362.400920854154</v>
      </c>
      <c r="G57" s="579">
        <f>'T-1'!H29</f>
        <v>5727.4084628408609</v>
      </c>
      <c r="H57" s="579">
        <f>'T-1'!I29</f>
        <v>487582.82692669675</v>
      </c>
      <c r="I57" s="356">
        <f>SUM(C57:H57)</f>
        <v>8599654.4421323109</v>
      </c>
    </row>
    <row r="58" spans="1:10">
      <c r="A58" s="354"/>
    </row>
    <row r="59" spans="1:10" ht="15">
      <c r="A59" s="357"/>
      <c r="B59" s="358" t="s">
        <v>90</v>
      </c>
      <c r="C59" s="359"/>
      <c r="G59" s="360"/>
    </row>
    <row r="60" spans="1:10" ht="15">
      <c r="A60" s="354"/>
      <c r="B60" s="339" t="s">
        <v>463</v>
      </c>
      <c r="C60" s="361">
        <f>C55</f>
        <v>150300.57693910119</v>
      </c>
      <c r="D60" s="361">
        <f t="shared" ref="D60:H60" si="10">D55</f>
        <v>6080490.8297334304</v>
      </c>
      <c r="E60" s="361">
        <f t="shared" si="10"/>
        <v>753677.18312976067</v>
      </c>
      <c r="F60" s="361"/>
      <c r="G60" s="361">
        <f t="shared" si="10"/>
        <v>6156.7819750385715</v>
      </c>
      <c r="H60" s="361">
        <f t="shared" si="10"/>
        <v>249392.8358973393</v>
      </c>
      <c r="I60" s="362">
        <f t="shared" ref="I60:I65" si="11">SUM(C60:H60)</f>
        <v>7240018.20767467</v>
      </c>
    </row>
    <row r="61" spans="1:10" ht="15">
      <c r="A61" s="354"/>
      <c r="C61" s="363">
        <f t="shared" ref="C61:H61" si="12">C60/$I60</f>
        <v>2.0759695988026298E-2</v>
      </c>
      <c r="D61" s="363">
        <f t="shared" si="12"/>
        <v>0.83984468758488751</v>
      </c>
      <c r="E61" s="363">
        <f t="shared" si="12"/>
        <v>0.10409879664816819</v>
      </c>
      <c r="F61" s="363">
        <f t="shared" si="12"/>
        <v>0</v>
      </c>
      <c r="G61" s="363">
        <f t="shared" si="12"/>
        <v>8.5038211209360903E-4</v>
      </c>
      <c r="H61" s="363">
        <f t="shared" si="12"/>
        <v>3.4446437666824412E-2</v>
      </c>
      <c r="I61" s="364">
        <f t="shared" si="11"/>
        <v>1</v>
      </c>
      <c r="J61" s="365" t="s">
        <v>408</v>
      </c>
    </row>
    <row r="62" spans="1:10" ht="15">
      <c r="A62" s="354"/>
      <c r="B62" s="339" t="s">
        <v>464</v>
      </c>
      <c r="C62" s="361">
        <f>C56</f>
        <v>144702.96083405861</v>
      </c>
      <c r="D62" s="361">
        <f t="shared" ref="D62:H62" si="13">D56</f>
        <v>6597268.5373600898</v>
      </c>
      <c r="E62" s="361">
        <f t="shared" si="13"/>
        <v>726325.12574834609</v>
      </c>
      <c r="F62" s="361"/>
      <c r="G62" s="361">
        <f t="shared" si="13"/>
        <v>5957.0563096323376</v>
      </c>
      <c r="H62" s="361">
        <f t="shared" si="13"/>
        <v>360841.19395404489</v>
      </c>
      <c r="I62" s="362">
        <f t="shared" si="11"/>
        <v>7835094.8742061714</v>
      </c>
    </row>
    <row r="63" spans="1:10" ht="15">
      <c r="A63" s="354"/>
      <c r="C63" s="363">
        <f t="shared" ref="C63:H63" si="14">C62/$I62</f>
        <v>1.8468565238492978E-2</v>
      </c>
      <c r="D63" s="363">
        <f t="shared" si="14"/>
        <v>0.84201514382153608</v>
      </c>
      <c r="E63" s="363">
        <f t="shared" si="14"/>
        <v>9.2701509989301212E-2</v>
      </c>
      <c r="F63" s="363">
        <f t="shared" si="14"/>
        <v>0</v>
      </c>
      <c r="G63" s="363">
        <f t="shared" si="14"/>
        <v>7.6030429819599205E-4</v>
      </c>
      <c r="H63" s="363">
        <f t="shared" si="14"/>
        <v>4.6054476652473753E-2</v>
      </c>
      <c r="I63" s="364">
        <f t="shared" si="11"/>
        <v>0.99999999999999989</v>
      </c>
      <c r="J63" s="365" t="s">
        <v>408</v>
      </c>
    </row>
    <row r="64" spans="1:10" ht="15">
      <c r="A64" s="354"/>
      <c r="B64" s="339" t="s">
        <v>465</v>
      </c>
      <c r="C64" s="361">
        <f>C57</f>
        <v>138371.89772904638</v>
      </c>
      <c r="D64" s="361">
        <f t="shared" ref="D64:H64" si="15">D57</f>
        <v>7202979.5251898784</v>
      </c>
      <c r="E64" s="361">
        <f t="shared" si="15"/>
        <v>695630.38290299382</v>
      </c>
      <c r="F64" s="361"/>
      <c r="G64" s="361">
        <f>G57</f>
        <v>5727.4084628408609</v>
      </c>
      <c r="H64" s="361">
        <f t="shared" si="15"/>
        <v>487582.82692669675</v>
      </c>
      <c r="I64" s="362">
        <f t="shared" si="11"/>
        <v>8530292.0412114561</v>
      </c>
    </row>
    <row r="65" spans="1:10" ht="15">
      <c r="A65" s="354"/>
      <c r="C65" s="363">
        <f t="shared" ref="C65:H65" si="16">C64/$I64</f>
        <v>1.6221238037401949E-2</v>
      </c>
      <c r="D65" s="363">
        <f t="shared" si="16"/>
        <v>0.84440010850635838</v>
      </c>
      <c r="E65" s="363">
        <f t="shared" si="16"/>
        <v>8.154824940837567E-2</v>
      </c>
      <c r="F65" s="363">
        <f t="shared" si="16"/>
        <v>0</v>
      </c>
      <c r="G65" s="363">
        <f t="shared" si="16"/>
        <v>6.7141997427176778E-4</v>
      </c>
      <c r="H65" s="363">
        <f t="shared" si="16"/>
        <v>5.7158984073592295E-2</v>
      </c>
      <c r="I65" s="364">
        <f t="shared" si="11"/>
        <v>1</v>
      </c>
      <c r="J65" s="365" t="s">
        <v>408</v>
      </c>
    </row>
    <row r="66" spans="1:10" ht="15">
      <c r="A66" s="354"/>
      <c r="C66" s="363"/>
      <c r="D66" s="363"/>
      <c r="E66" s="363"/>
      <c r="F66" s="363"/>
      <c r="G66" s="363"/>
      <c r="H66" s="363"/>
      <c r="I66" s="362"/>
    </row>
    <row r="67" spans="1:10" ht="15">
      <c r="A67" s="354"/>
      <c r="B67" s="349" t="s">
        <v>108</v>
      </c>
    </row>
    <row r="68" spans="1:10" ht="15">
      <c r="B68" s="339" t="s">
        <v>466</v>
      </c>
      <c r="C68" s="361">
        <f>C55</f>
        <v>150300.57693910119</v>
      </c>
      <c r="D68" s="361">
        <f t="shared" ref="D68:H68" si="17">D55</f>
        <v>6080490.8297334304</v>
      </c>
      <c r="E68" s="361">
        <f t="shared" si="17"/>
        <v>753677.18312976067</v>
      </c>
      <c r="F68" s="361"/>
      <c r="G68" s="361"/>
      <c r="H68" s="361">
        <f t="shared" si="17"/>
        <v>249392.8358973393</v>
      </c>
      <c r="I68" s="362">
        <f t="shared" ref="I68:I73" si="18">SUM(C68:H68)</f>
        <v>7233861.4256996317</v>
      </c>
    </row>
    <row r="69" spans="1:10" ht="15">
      <c r="C69" s="366">
        <f t="shared" ref="C69:H69" si="19">C68/$I$68</f>
        <v>2.0777364687292816E-2</v>
      </c>
      <c r="D69" s="366">
        <f t="shared" si="19"/>
        <v>0.84055948433451622</v>
      </c>
      <c r="E69" s="366">
        <f t="shared" si="19"/>
        <v>0.10418739574581605</v>
      </c>
      <c r="F69" s="366">
        <f t="shared" si="19"/>
        <v>0</v>
      </c>
      <c r="G69" s="366">
        <f t="shared" si="19"/>
        <v>0</v>
      </c>
      <c r="H69" s="366">
        <f t="shared" si="19"/>
        <v>3.4475755232374936E-2</v>
      </c>
      <c r="I69" s="364">
        <f t="shared" si="18"/>
        <v>1</v>
      </c>
      <c r="J69" s="365" t="s">
        <v>408</v>
      </c>
    </row>
    <row r="70" spans="1:10" ht="15">
      <c r="B70" s="339" t="s">
        <v>467</v>
      </c>
      <c r="C70" s="361">
        <f>C56</f>
        <v>144702.96083405861</v>
      </c>
      <c r="D70" s="361">
        <f t="shared" ref="D70:H70" si="20">D56</f>
        <v>6597268.5373600898</v>
      </c>
      <c r="E70" s="361">
        <f t="shared" si="20"/>
        <v>726325.12574834609</v>
      </c>
      <c r="F70" s="361"/>
      <c r="G70" s="361"/>
      <c r="H70" s="361">
        <f t="shared" si="20"/>
        <v>360841.19395404489</v>
      </c>
      <c r="I70" s="362">
        <f t="shared" si="18"/>
        <v>7829137.8178965393</v>
      </c>
    </row>
    <row r="71" spans="1:10" ht="15">
      <c r="C71" s="366">
        <f t="shared" ref="C71:H71" si="21">C70/$I$70</f>
        <v>1.848261765213581E-2</v>
      </c>
      <c r="D71" s="366">
        <f t="shared" si="21"/>
        <v>0.84265581866236494</v>
      </c>
      <c r="E71" s="366">
        <f t="shared" si="21"/>
        <v>9.2772044973847251E-2</v>
      </c>
      <c r="F71" s="366">
        <f t="shared" si="21"/>
        <v>0</v>
      </c>
      <c r="G71" s="366">
        <f t="shared" si="21"/>
        <v>0</v>
      </c>
      <c r="H71" s="366">
        <f t="shared" si="21"/>
        <v>4.6089518711652004E-2</v>
      </c>
      <c r="I71" s="364">
        <f t="shared" si="18"/>
        <v>1</v>
      </c>
      <c r="J71" s="365" t="s">
        <v>408</v>
      </c>
    </row>
    <row r="72" spans="1:10" ht="15">
      <c r="A72" s="354"/>
      <c r="B72" s="339" t="s">
        <v>468</v>
      </c>
      <c r="C72" s="361">
        <f>C57</f>
        <v>138371.89772904638</v>
      </c>
      <c r="D72" s="361">
        <f t="shared" ref="D72:H72" si="22">D57</f>
        <v>7202979.5251898784</v>
      </c>
      <c r="E72" s="361">
        <f t="shared" si="22"/>
        <v>695630.38290299382</v>
      </c>
      <c r="F72" s="361"/>
      <c r="G72" s="361"/>
      <c r="H72" s="361">
        <f t="shared" si="22"/>
        <v>487582.82692669675</v>
      </c>
      <c r="I72" s="362">
        <f t="shared" si="18"/>
        <v>8524564.632748615</v>
      </c>
    </row>
    <row r="73" spans="1:10" ht="15">
      <c r="A73" s="339"/>
      <c r="C73" s="366">
        <f t="shared" ref="C73:H73" si="23">C72/$I$72</f>
        <v>1.6232136618152485E-2</v>
      </c>
      <c r="D73" s="366">
        <f t="shared" si="23"/>
        <v>0.84496743652084771</v>
      </c>
      <c r="E73" s="366">
        <f t="shared" si="23"/>
        <v>8.1603039318935686E-2</v>
      </c>
      <c r="F73" s="366">
        <f t="shared" si="23"/>
        <v>0</v>
      </c>
      <c r="G73" s="366">
        <f t="shared" si="23"/>
        <v>0</v>
      </c>
      <c r="H73" s="366">
        <f t="shared" si="23"/>
        <v>5.7197387542064201E-2</v>
      </c>
      <c r="I73" s="364">
        <f t="shared" si="18"/>
        <v>1</v>
      </c>
      <c r="J73" s="365" t="s">
        <v>408</v>
      </c>
    </row>
    <row r="74" spans="1:10">
      <c r="A74" s="339"/>
      <c r="C74" s="339"/>
      <c r="D74" s="339"/>
      <c r="E74" s="339"/>
      <c r="F74" s="339"/>
      <c r="G74" s="339"/>
      <c r="H74" s="339"/>
      <c r="I74" s="339"/>
    </row>
    <row r="75" spans="1:10">
      <c r="A75" s="339"/>
      <c r="C75" s="339"/>
      <c r="D75" s="339"/>
      <c r="E75" s="339"/>
      <c r="F75" s="339"/>
      <c r="G75" s="339"/>
      <c r="H75" s="339"/>
      <c r="I75" s="339"/>
    </row>
    <row r="76" spans="1:10">
      <c r="A76" s="339"/>
      <c r="C76" s="339"/>
      <c r="D76" s="339"/>
      <c r="E76" s="339"/>
      <c r="F76" s="339"/>
      <c r="G76" s="339"/>
      <c r="H76" s="339"/>
      <c r="I76" s="339"/>
    </row>
    <row r="77" spans="1:10">
      <c r="A77" s="339"/>
      <c r="C77" s="339"/>
      <c r="D77" s="339"/>
      <c r="E77" s="339"/>
      <c r="F77" s="339"/>
      <c r="G77" s="339"/>
      <c r="H77" s="339"/>
      <c r="I77" s="339"/>
    </row>
    <row r="78" spans="1:10">
      <c r="C78" s="361"/>
      <c r="D78" s="361"/>
      <c r="E78" s="361"/>
      <c r="F78" s="361"/>
      <c r="G78" s="361"/>
      <c r="H78" s="361"/>
      <c r="I78" s="361"/>
    </row>
    <row r="79" spans="1:10">
      <c r="C79" s="366"/>
      <c r="D79" s="366"/>
      <c r="E79" s="366"/>
      <c r="F79" s="366"/>
      <c r="G79" s="366"/>
      <c r="H79" s="366"/>
    </row>
    <row r="80" spans="1:10">
      <c r="C80" s="361"/>
      <c r="D80" s="361"/>
      <c r="E80" s="361"/>
      <c r="F80" s="361"/>
      <c r="G80" s="361"/>
      <c r="H80" s="361"/>
      <c r="I80" s="361"/>
    </row>
    <row r="81" spans="3:9">
      <c r="C81" s="366"/>
      <c r="D81" s="366"/>
      <c r="E81" s="366"/>
      <c r="F81" s="366"/>
      <c r="G81" s="366"/>
      <c r="H81" s="366"/>
    </row>
    <row r="84" spans="3:9">
      <c r="C84" s="361"/>
      <c r="D84" s="361"/>
      <c r="E84" s="361"/>
      <c r="F84" s="361"/>
      <c r="G84" s="361"/>
      <c r="H84" s="361"/>
      <c r="I84" s="361"/>
    </row>
    <row r="85" spans="3:9">
      <c r="C85" s="366"/>
      <c r="D85" s="366"/>
      <c r="E85" s="366"/>
      <c r="F85" s="366"/>
      <c r="G85" s="366"/>
      <c r="H85" s="366"/>
    </row>
    <row r="86" spans="3:9">
      <c r="C86" s="361"/>
      <c r="D86" s="361"/>
      <c r="E86" s="361"/>
      <c r="F86" s="361"/>
      <c r="G86" s="361"/>
      <c r="H86" s="361"/>
      <c r="I86" s="361"/>
    </row>
    <row r="87" spans="3:9">
      <c r="C87" s="366"/>
      <c r="D87" s="366"/>
      <c r="E87" s="366"/>
      <c r="F87" s="366"/>
      <c r="G87" s="366"/>
      <c r="H87" s="366"/>
    </row>
    <row r="90" spans="3:9">
      <c r="C90" s="361"/>
      <c r="D90" s="361"/>
      <c r="E90" s="361"/>
      <c r="F90" s="361"/>
      <c r="G90" s="361"/>
      <c r="H90" s="361"/>
      <c r="I90" s="361"/>
    </row>
    <row r="91" spans="3:9">
      <c r="C91" s="366"/>
      <c r="D91" s="366"/>
      <c r="E91" s="366"/>
      <c r="F91" s="366"/>
      <c r="G91" s="366"/>
      <c r="H91" s="366"/>
    </row>
    <row r="92" spans="3:9">
      <c r="C92" s="361"/>
      <c r="D92" s="361"/>
      <c r="E92" s="361"/>
      <c r="F92" s="361"/>
      <c r="G92" s="361"/>
      <c r="H92" s="361"/>
      <c r="I92" s="361"/>
    </row>
    <row r="93" spans="3:9">
      <c r="C93" s="366"/>
      <c r="D93" s="366"/>
      <c r="E93" s="366"/>
      <c r="F93" s="366"/>
      <c r="G93" s="366"/>
      <c r="H93" s="366"/>
    </row>
  </sheetData>
  <mergeCells count="8">
    <mergeCell ref="B52:H52"/>
    <mergeCell ref="A1:H1"/>
    <mergeCell ref="A2:H2"/>
    <mergeCell ref="A3:H3"/>
    <mergeCell ref="E5:F5"/>
    <mergeCell ref="C5:C6"/>
    <mergeCell ref="D5:D6"/>
    <mergeCell ref="H5:H6"/>
  </mergeCells>
  <phoneticPr fontId="49" type="noConversion"/>
  <printOptions horizontalCentered="1"/>
  <pageMargins left="0.25" right="0.25" top="0.75" bottom="0.75" header="0.3" footer="0.3"/>
  <pageSetup scale="52" fitToHeight="0" orientation="landscape" blackAndWhite="1" horizontalDpi="300" verticalDpi="300" r:id="rId1"/>
  <headerFooter alignWithMargins="0"/>
  <ignoredErrors>
    <ignoredError sqref="D62:E62 G62:H62 F15 G16 G27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10">
    <tabColor theme="3" tint="0.79998168889431442"/>
    <pageSetUpPr autoPageBreaks="0" fitToPage="1"/>
  </sheetPr>
  <dimension ref="A1:V120"/>
  <sheetViews>
    <sheetView zoomScaleNormal="100" workbookViewId="0">
      <pane ySplit="4" topLeftCell="A59" activePane="bottomLeft" state="frozen"/>
      <selection activeCell="B52" sqref="B52"/>
      <selection pane="bottomLeft" activeCell="D73" sqref="D73:O75"/>
    </sheetView>
  </sheetViews>
  <sheetFormatPr defaultColWidth="8" defaultRowHeight="15" customHeight="1"/>
  <cols>
    <col min="1" max="1" width="4.28515625" style="113" customWidth="1"/>
    <col min="2" max="2" width="49.28515625" style="95" customWidth="1"/>
    <col min="3" max="3" width="9.85546875" style="114" customWidth="1"/>
    <col min="4" max="8" width="10.85546875" style="113" customWidth="1"/>
    <col min="9" max="15" width="10.85546875" style="95" customWidth="1"/>
    <col min="16" max="16" width="10.85546875" style="118" customWidth="1"/>
    <col min="17" max="17" width="19.42578125" style="118" customWidth="1"/>
    <col min="18" max="18" width="12" style="95" customWidth="1"/>
    <col min="19" max="19" width="7.85546875" style="95" customWidth="1"/>
    <col min="20" max="16384" width="8" style="95"/>
  </cols>
  <sheetData>
    <row r="1" spans="1:22" s="80" customFormat="1" ht="19.5" customHeight="1">
      <c r="A1" s="537" t="s">
        <v>140</v>
      </c>
      <c r="B1" s="537"/>
      <c r="C1" s="537"/>
      <c r="D1" s="537"/>
      <c r="E1" s="537"/>
      <c r="F1" s="537"/>
      <c r="G1" s="537"/>
      <c r="H1" s="537"/>
      <c r="I1" s="537"/>
      <c r="J1" s="537"/>
      <c r="K1" s="537"/>
      <c r="L1" s="537"/>
      <c r="M1" s="537"/>
      <c r="N1" s="537"/>
      <c r="O1" s="537"/>
      <c r="P1" s="537"/>
      <c r="Q1" s="514"/>
    </row>
    <row r="2" spans="1:22" s="80" customFormat="1" ht="19.5" customHeight="1">
      <c r="A2" s="537" t="s">
        <v>141</v>
      </c>
      <c r="B2" s="537"/>
      <c r="C2" s="537"/>
      <c r="D2" s="537"/>
      <c r="E2" s="537"/>
      <c r="F2" s="537"/>
      <c r="G2" s="537"/>
      <c r="H2" s="537"/>
      <c r="I2" s="537"/>
      <c r="J2" s="537"/>
      <c r="K2" s="537"/>
      <c r="L2" s="537"/>
      <c r="M2" s="537"/>
      <c r="N2" s="537"/>
      <c r="O2" s="537"/>
      <c r="P2" s="537"/>
      <c r="Q2" s="514"/>
    </row>
    <row r="3" spans="1:22" ht="15" customHeight="1">
      <c r="A3" s="94"/>
      <c r="B3" s="82" t="s">
        <v>0</v>
      </c>
      <c r="C3" s="82" t="s">
        <v>1</v>
      </c>
      <c r="D3" s="82" t="s">
        <v>2</v>
      </c>
      <c r="E3" s="82" t="s">
        <v>3</v>
      </c>
      <c r="F3" s="82" t="s">
        <v>4</v>
      </c>
      <c r="G3" s="82" t="s">
        <v>5</v>
      </c>
      <c r="H3" s="82" t="s">
        <v>6</v>
      </c>
      <c r="I3" s="82" t="s">
        <v>7</v>
      </c>
      <c r="J3" s="83" t="s">
        <v>32</v>
      </c>
      <c r="K3" s="83" t="s">
        <v>33</v>
      </c>
      <c r="L3" s="83" t="s">
        <v>34</v>
      </c>
      <c r="M3" s="83" t="s">
        <v>42</v>
      </c>
      <c r="N3" s="83" t="s">
        <v>59</v>
      </c>
      <c r="O3" s="83" t="s">
        <v>162</v>
      </c>
      <c r="P3" s="83" t="s">
        <v>163</v>
      </c>
      <c r="Q3" s="83"/>
      <c r="R3" s="80"/>
    </row>
    <row r="4" spans="1:22" ht="15" customHeight="1">
      <c r="A4" s="94"/>
      <c r="B4" s="96" t="s">
        <v>60</v>
      </c>
      <c r="C4" s="97" t="s">
        <v>61</v>
      </c>
      <c r="D4" s="97" t="s">
        <v>62</v>
      </c>
      <c r="E4" s="97" t="s">
        <v>63</v>
      </c>
      <c r="F4" s="97" t="s">
        <v>64</v>
      </c>
      <c r="G4" s="97" t="s">
        <v>65</v>
      </c>
      <c r="H4" s="97" t="s">
        <v>66</v>
      </c>
      <c r="I4" s="97" t="s">
        <v>67</v>
      </c>
      <c r="J4" s="97" t="s">
        <v>68</v>
      </c>
      <c r="K4" s="97" t="s">
        <v>69</v>
      </c>
      <c r="L4" s="97" t="s">
        <v>70</v>
      </c>
      <c r="M4" s="97" t="s">
        <v>71</v>
      </c>
      <c r="N4" s="97" t="s">
        <v>72</v>
      </c>
      <c r="O4" s="97" t="s">
        <v>73</v>
      </c>
      <c r="P4" s="97" t="s">
        <v>232</v>
      </c>
      <c r="Q4" s="516"/>
      <c r="R4" s="80"/>
    </row>
    <row r="5" spans="1:22" ht="15" customHeight="1">
      <c r="A5" s="85">
        <f>MAX($A$4:A4)+1</f>
        <v>1</v>
      </c>
      <c r="B5" s="130" t="s">
        <v>13</v>
      </c>
      <c r="C5" s="131"/>
      <c r="D5" s="132"/>
      <c r="E5" s="132"/>
      <c r="F5" s="132"/>
      <c r="G5" s="132"/>
      <c r="H5" s="132"/>
      <c r="I5" s="133"/>
      <c r="J5" s="134"/>
      <c r="K5" s="134"/>
      <c r="L5" s="134"/>
      <c r="M5" s="134"/>
      <c r="N5" s="134"/>
      <c r="O5" s="134"/>
      <c r="P5" s="135"/>
      <c r="Q5" s="135"/>
      <c r="R5" s="80"/>
    </row>
    <row r="6" spans="1:22" ht="15" customHeight="1">
      <c r="A6" s="85">
        <f>MAX($A$4:A5)+1</f>
        <v>2</v>
      </c>
      <c r="B6" s="139" t="s">
        <v>448</v>
      </c>
      <c r="C6" s="140"/>
      <c r="D6" s="141"/>
      <c r="E6" s="141"/>
      <c r="F6" s="141"/>
      <c r="G6" s="141"/>
      <c r="H6" s="141"/>
      <c r="I6" s="142"/>
      <c r="J6" s="143"/>
      <c r="K6" s="143"/>
      <c r="L6" s="143"/>
      <c r="M6" s="143"/>
      <c r="N6" s="143"/>
      <c r="O6" s="143"/>
      <c r="P6" s="144"/>
      <c r="Q6" s="144"/>
      <c r="R6" s="80"/>
    </row>
    <row r="7" spans="1:22" ht="15" customHeight="1">
      <c r="A7" s="85">
        <f>MAX($A$4:A6)+1</f>
        <v>3</v>
      </c>
      <c r="B7" s="103" t="s">
        <v>209</v>
      </c>
      <c r="C7" s="99" t="s">
        <v>131</v>
      </c>
      <c r="D7" s="105">
        <v>31160</v>
      </c>
      <c r="E7" s="105">
        <v>31198</v>
      </c>
      <c r="F7" s="105">
        <v>31453</v>
      </c>
      <c r="G7" s="105">
        <v>31428</v>
      </c>
      <c r="H7" s="105">
        <v>31628</v>
      </c>
      <c r="I7" s="105">
        <v>32238</v>
      </c>
      <c r="J7" s="105">
        <v>32232</v>
      </c>
      <c r="K7" s="105">
        <v>32252</v>
      </c>
      <c r="L7" s="105">
        <v>32455</v>
      </c>
      <c r="M7" s="105">
        <v>32334</v>
      </c>
      <c r="N7" s="105">
        <v>32334</v>
      </c>
      <c r="O7" s="105">
        <v>32334</v>
      </c>
      <c r="P7" s="101">
        <f t="shared" ref="P7:P11" si="0">AVERAGE(D7:O7)</f>
        <v>31920.5</v>
      </c>
      <c r="Q7" s="101"/>
      <c r="R7" s="102"/>
    </row>
    <row r="8" spans="1:22" ht="15" customHeight="1">
      <c r="A8" s="85">
        <f>MAX($A$4:A7)+1</f>
        <v>4</v>
      </c>
      <c r="B8" s="103" t="s">
        <v>82</v>
      </c>
      <c r="C8" s="99" t="s">
        <v>131</v>
      </c>
      <c r="D8" s="580">
        <v>-302.01121359223299</v>
      </c>
      <c r="E8" s="580">
        <v>-302.01121359223299</v>
      </c>
      <c r="F8" s="580">
        <v>-302.01121359223299</v>
      </c>
      <c r="G8" s="580">
        <v>-302.01121359223299</v>
      </c>
      <c r="H8" s="580">
        <v>-302.01121359223299</v>
      </c>
      <c r="I8" s="580">
        <v>-302.01121359223299</v>
      </c>
      <c r="J8" s="580">
        <v>-302.01121359223299</v>
      </c>
      <c r="K8" s="580">
        <v>-302.01121359223299</v>
      </c>
      <c r="L8" s="580">
        <v>-302.01121359223299</v>
      </c>
      <c r="M8" s="580">
        <v>-302.01121359223299</v>
      </c>
      <c r="N8" s="580">
        <v>-302.01121359223299</v>
      </c>
      <c r="O8" s="580">
        <v>-302.01121359223299</v>
      </c>
      <c r="P8" s="111">
        <f>AVERAGE(D8:O8)</f>
        <v>-302.01121359223305</v>
      </c>
      <c r="Q8" s="104"/>
      <c r="R8" s="102"/>
    </row>
    <row r="9" spans="1:22" ht="15" customHeight="1">
      <c r="A9" s="85">
        <f>MAX($A$4:A8)+1</f>
        <v>5</v>
      </c>
      <c r="B9" s="100" t="s">
        <v>127</v>
      </c>
      <c r="C9" s="99" t="s">
        <v>131</v>
      </c>
      <c r="D9" s="105">
        <f>SUM(D7:D8)</f>
        <v>30857.988786407768</v>
      </c>
      <c r="E9" s="105">
        <f t="shared" ref="E9:O9" si="1">SUM(E7:E8)</f>
        <v>30895.988786407768</v>
      </c>
      <c r="F9" s="105">
        <f t="shared" si="1"/>
        <v>31150.988786407768</v>
      </c>
      <c r="G9" s="105">
        <f t="shared" si="1"/>
        <v>31125.988786407768</v>
      </c>
      <c r="H9" s="105">
        <f t="shared" si="1"/>
        <v>31325.988786407768</v>
      </c>
      <c r="I9" s="105">
        <f t="shared" si="1"/>
        <v>31935.988786407768</v>
      </c>
      <c r="J9" s="105">
        <f t="shared" si="1"/>
        <v>31929.988786407768</v>
      </c>
      <c r="K9" s="105">
        <f t="shared" si="1"/>
        <v>31949.988786407768</v>
      </c>
      <c r="L9" s="105">
        <f t="shared" si="1"/>
        <v>32152.988786407768</v>
      </c>
      <c r="M9" s="105">
        <f t="shared" si="1"/>
        <v>32031.988786407768</v>
      </c>
      <c r="N9" s="105">
        <f t="shared" si="1"/>
        <v>32031.988786407768</v>
      </c>
      <c r="O9" s="105">
        <f t="shared" si="1"/>
        <v>32031.988786407768</v>
      </c>
      <c r="P9" s="104">
        <f t="shared" si="0"/>
        <v>31618.488786407765</v>
      </c>
      <c r="Q9" s="104"/>
      <c r="R9" s="80"/>
    </row>
    <row r="10" spans="1:22" ht="15" customHeight="1">
      <c r="A10" s="85">
        <f>MAX($A$4:A9)+1</f>
        <v>6</v>
      </c>
      <c r="B10" s="100" t="s">
        <v>311</v>
      </c>
      <c r="C10" s="99" t="s">
        <v>131</v>
      </c>
      <c r="D10" s="105">
        <f>D7</f>
        <v>31160</v>
      </c>
      <c r="E10" s="105">
        <f t="shared" ref="E10:O10" si="2">E7</f>
        <v>31198</v>
      </c>
      <c r="F10" s="105">
        <f t="shared" si="2"/>
        <v>31453</v>
      </c>
      <c r="G10" s="105">
        <f t="shared" si="2"/>
        <v>31428</v>
      </c>
      <c r="H10" s="105">
        <f t="shared" si="2"/>
        <v>31628</v>
      </c>
      <c r="I10" s="105">
        <f t="shared" si="2"/>
        <v>32238</v>
      </c>
      <c r="J10" s="105">
        <f t="shared" si="2"/>
        <v>32232</v>
      </c>
      <c r="K10" s="105">
        <f t="shared" si="2"/>
        <v>32252</v>
      </c>
      <c r="L10" s="105">
        <f t="shared" si="2"/>
        <v>32455</v>
      </c>
      <c r="M10" s="105">
        <f t="shared" si="2"/>
        <v>32334</v>
      </c>
      <c r="N10" s="105">
        <f t="shared" si="2"/>
        <v>32334</v>
      </c>
      <c r="O10" s="105">
        <f t="shared" si="2"/>
        <v>32334</v>
      </c>
      <c r="P10" s="104">
        <f t="shared" si="0"/>
        <v>31920.5</v>
      </c>
      <c r="Q10" s="104"/>
      <c r="R10" s="80"/>
    </row>
    <row r="11" spans="1:22" ht="15" customHeight="1">
      <c r="A11" s="85">
        <f>MAX($A$4:A10)+1</f>
        <v>7</v>
      </c>
      <c r="B11" s="100" t="s">
        <v>205</v>
      </c>
      <c r="C11" s="99" t="s">
        <v>131</v>
      </c>
      <c r="D11" s="105">
        <v>72</v>
      </c>
      <c r="E11" s="105">
        <v>72</v>
      </c>
      <c r="F11" s="105">
        <v>72</v>
      </c>
      <c r="G11" s="105">
        <v>72</v>
      </c>
      <c r="H11" s="105">
        <v>72</v>
      </c>
      <c r="I11" s="105">
        <v>72</v>
      </c>
      <c r="J11" s="105">
        <v>72</v>
      </c>
      <c r="K11" s="105">
        <v>72</v>
      </c>
      <c r="L11" s="105">
        <v>72</v>
      </c>
      <c r="M11" s="105">
        <v>72</v>
      </c>
      <c r="N11" s="105">
        <v>72</v>
      </c>
      <c r="O11" s="105">
        <v>72</v>
      </c>
      <c r="P11" s="101">
        <f t="shared" si="0"/>
        <v>72</v>
      </c>
      <c r="Q11"/>
    </row>
    <row r="12" spans="1:22" ht="15" customHeight="1">
      <c r="A12" s="85">
        <f>MAX($A$4:A11)+1</f>
        <v>8</v>
      </c>
      <c r="B12" s="103" t="s">
        <v>317</v>
      </c>
      <c r="C12" s="99" t="s">
        <v>124</v>
      </c>
      <c r="D12" s="105">
        <v>-107.57705071393401</v>
      </c>
      <c r="E12" s="105">
        <v>-112.44980797636632</v>
      </c>
      <c r="F12" s="105">
        <v>-115.04351058591827</v>
      </c>
      <c r="G12" s="105">
        <v>-120.84536189069424</v>
      </c>
      <c r="H12" s="105">
        <v>-112.70605120630231</v>
      </c>
      <c r="I12" s="105">
        <v>-125.94625800098474</v>
      </c>
      <c r="J12" s="105">
        <v>-62.049044805514527</v>
      </c>
      <c r="K12" s="105">
        <v>-32.625032003938948</v>
      </c>
      <c r="L12" s="105">
        <v>-73.89769079271295</v>
      </c>
      <c r="M12" s="105">
        <v>-72.30825209256524</v>
      </c>
      <c r="N12" s="105">
        <v>-109.11935499753817</v>
      </c>
      <c r="O12" s="105">
        <v>-107.91939438700147</v>
      </c>
      <c r="P12" s="104">
        <f>AVERAGE(D12:O12)</f>
        <v>-96.040567454455925</v>
      </c>
      <c r="Q12" s="104"/>
      <c r="R12" s="102"/>
      <c r="T12" s="490"/>
      <c r="U12" s="490"/>
    </row>
    <row r="13" spans="1:22" ht="15" customHeight="1">
      <c r="A13" s="85">
        <f>MAX($A$4:A12)+1</f>
        <v>9</v>
      </c>
      <c r="B13" s="100" t="s">
        <v>184</v>
      </c>
      <c r="C13" s="99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4"/>
      <c r="Q13" s="104"/>
      <c r="R13" s="80"/>
    </row>
    <row r="14" spans="1:22" ht="15" customHeight="1">
      <c r="A14" s="85">
        <f>MAX($A$4:A13)+1</f>
        <v>10</v>
      </c>
      <c r="B14" s="103" t="s">
        <v>126</v>
      </c>
      <c r="C14" s="99" t="s">
        <v>124</v>
      </c>
      <c r="D14" s="105">
        <v>7990.5189266371244</v>
      </c>
      <c r="E14" s="105">
        <v>9157.330512063023</v>
      </c>
      <c r="F14" s="105">
        <v>10420.849857213196</v>
      </c>
      <c r="G14" s="105">
        <v>10522.973426883309</v>
      </c>
      <c r="H14" s="105">
        <v>9859.4678778926645</v>
      </c>
      <c r="I14" s="105">
        <v>9277.59478089611</v>
      </c>
      <c r="J14" s="105">
        <v>8352.4887198424422</v>
      </c>
      <c r="K14" s="105">
        <v>7710.9633136386019</v>
      </c>
      <c r="L14" s="105">
        <v>8680.2880452978825</v>
      </c>
      <c r="M14" s="105">
        <v>9192.5448941408176</v>
      </c>
      <c r="N14" s="105">
        <v>8943.4188429345159</v>
      </c>
      <c r="O14" s="105">
        <v>8072.7170851797146</v>
      </c>
      <c r="P14" s="104">
        <f>AVERAGE(D14:O14)</f>
        <v>9015.0963568849493</v>
      </c>
      <c r="Q14" s="104"/>
      <c r="R14" s="102"/>
      <c r="S14" s="102"/>
      <c r="T14" s="102"/>
      <c r="U14" s="102"/>
      <c r="V14" s="102"/>
    </row>
    <row r="15" spans="1:22" ht="15" customHeight="1">
      <c r="A15" s="85">
        <f>MAX($A$4:A14)+1</f>
        <v>11</v>
      </c>
      <c r="B15" s="103" t="s">
        <v>189</v>
      </c>
      <c r="C15" s="99" t="s">
        <v>124</v>
      </c>
      <c r="D15" s="105">
        <f>D14+D12</f>
        <v>7882.9418759231903</v>
      </c>
      <c r="E15" s="105">
        <f t="shared" ref="E15:O15" si="3">E14+E12</f>
        <v>9044.8807040866559</v>
      </c>
      <c r="F15" s="105">
        <f t="shared" si="3"/>
        <v>10305.806346627278</v>
      </c>
      <c r="G15" s="105">
        <f t="shared" si="3"/>
        <v>10402.128064992614</v>
      </c>
      <c r="H15" s="105">
        <f t="shared" si="3"/>
        <v>9746.7618266863628</v>
      </c>
      <c r="I15" s="105">
        <f t="shared" si="3"/>
        <v>9151.648522895126</v>
      </c>
      <c r="J15" s="105">
        <f t="shared" si="3"/>
        <v>8290.4396750369269</v>
      </c>
      <c r="K15" s="105">
        <f t="shared" si="3"/>
        <v>7678.338281634663</v>
      </c>
      <c r="L15" s="105">
        <f t="shared" si="3"/>
        <v>8606.3903545051689</v>
      </c>
      <c r="M15" s="105">
        <f t="shared" si="3"/>
        <v>9120.2366420482522</v>
      </c>
      <c r="N15" s="105">
        <f t="shared" si="3"/>
        <v>8834.299487936978</v>
      </c>
      <c r="O15" s="105">
        <f t="shared" si="3"/>
        <v>7964.7976907927132</v>
      </c>
      <c r="P15" s="104">
        <f>AVERAGE(D15:O15)</f>
        <v>8919.0557894304948</v>
      </c>
      <c r="Q15" s="104"/>
      <c r="R15" s="106"/>
    </row>
    <row r="16" spans="1:22" ht="15" customHeight="1">
      <c r="A16" s="85">
        <f>MAX($A$4:A15)+1</f>
        <v>12</v>
      </c>
      <c r="B16" s="103" t="s">
        <v>399</v>
      </c>
      <c r="C16" s="99" t="s">
        <v>123</v>
      </c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104">
        <f>MAX(D15:O15)</f>
        <v>10402.128064992614</v>
      </c>
      <c r="Q16" s="104"/>
      <c r="R16" s="107"/>
    </row>
    <row r="17" spans="1:22" ht="15" customHeight="1">
      <c r="A17" s="85">
        <f>MAX($A$4:A16)+1</f>
        <v>13</v>
      </c>
      <c r="B17" s="100" t="s">
        <v>185</v>
      </c>
      <c r="C17" s="99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104"/>
      <c r="Q17" s="104"/>
      <c r="R17" s="107"/>
      <c r="U17" s="490"/>
      <c r="V17" s="490"/>
    </row>
    <row r="18" spans="1:22" ht="15" customHeight="1">
      <c r="A18" s="85">
        <f>MAX($A$4:A17)+1</f>
        <v>14</v>
      </c>
      <c r="B18" s="103" t="s">
        <v>126</v>
      </c>
      <c r="C18" s="99" t="s">
        <v>197</v>
      </c>
      <c r="D18" s="105">
        <v>9919.9013737075347</v>
      </c>
      <c r="E18" s="105">
        <v>10895.721659281144</v>
      </c>
      <c r="F18" s="105">
        <v>12218.578197932053</v>
      </c>
      <c r="G18" s="105">
        <v>12213.983239783358</v>
      </c>
      <c r="H18" s="105">
        <v>11798.561240768095</v>
      </c>
      <c r="I18" s="105">
        <v>11063.166804529788</v>
      </c>
      <c r="J18" s="105">
        <v>10456.865051698671</v>
      </c>
      <c r="K18" s="105">
        <v>9435.8537075332351</v>
      </c>
      <c r="L18" s="105">
        <v>9945.8473067454452</v>
      </c>
      <c r="M18" s="105">
        <v>10301.215686853766</v>
      </c>
      <c r="N18" s="105">
        <v>10337.077242737567</v>
      </c>
      <c r="O18" s="105">
        <v>9264.8048498276712</v>
      </c>
      <c r="P18" s="104">
        <f>AVERAGE(D18:O18)</f>
        <v>10654.298030116528</v>
      </c>
      <c r="Q18"/>
      <c r="R18" s="80"/>
    </row>
    <row r="19" spans="1:22" ht="15" customHeight="1">
      <c r="A19" s="85">
        <f>MAX($A$4:A18)+1</f>
        <v>15</v>
      </c>
      <c r="B19" s="103" t="s">
        <v>189</v>
      </c>
      <c r="C19" s="99" t="s">
        <v>197</v>
      </c>
      <c r="D19" s="105">
        <f>D18+D12</f>
        <v>9812.3243229936015</v>
      </c>
      <c r="E19" s="105">
        <f t="shared" ref="E19:O19" si="4">E18+E12</f>
        <v>10783.271851304777</v>
      </c>
      <c r="F19" s="105">
        <f t="shared" si="4"/>
        <v>12103.534687346135</v>
      </c>
      <c r="G19" s="105">
        <f t="shared" si="4"/>
        <v>12093.137877892663</v>
      </c>
      <c r="H19" s="105">
        <f t="shared" si="4"/>
        <v>11685.855189561793</v>
      </c>
      <c r="I19" s="105">
        <f t="shared" si="4"/>
        <v>10937.220546528804</v>
      </c>
      <c r="J19" s="105">
        <f t="shared" si="4"/>
        <v>10394.816006893156</v>
      </c>
      <c r="K19" s="105">
        <f t="shared" si="4"/>
        <v>9403.2286755292953</v>
      </c>
      <c r="L19" s="105">
        <f t="shared" si="4"/>
        <v>9871.9496159527316</v>
      </c>
      <c r="M19" s="105">
        <f t="shared" si="4"/>
        <v>10228.9074347612</v>
      </c>
      <c r="N19" s="105">
        <f t="shared" si="4"/>
        <v>10227.957887740029</v>
      </c>
      <c r="O19" s="105">
        <f t="shared" si="4"/>
        <v>9156.8854554406698</v>
      </c>
      <c r="P19" s="104">
        <f>AVERAGE(D19:O19)</f>
        <v>10558.257462662074</v>
      </c>
      <c r="Q19" s="104"/>
      <c r="R19" s="107"/>
    </row>
    <row r="20" spans="1:22" ht="15" customHeight="1">
      <c r="A20" s="85">
        <f>MAX($A$4:A19)+1</f>
        <v>16</v>
      </c>
      <c r="B20" s="103" t="s">
        <v>399</v>
      </c>
      <c r="C20" s="99" t="s">
        <v>198</v>
      </c>
      <c r="D20" s="105"/>
      <c r="E20" s="105"/>
      <c r="F20" s="105"/>
      <c r="G20" s="105"/>
      <c r="H20" s="105"/>
      <c r="I20" s="105"/>
      <c r="J20" s="105"/>
      <c r="K20" s="105"/>
      <c r="L20" s="105"/>
      <c r="M20" s="105"/>
      <c r="N20" s="105"/>
      <c r="O20" s="105"/>
      <c r="P20" s="104">
        <f>MAX(D19:O19)</f>
        <v>12103.534687346135</v>
      </c>
      <c r="Q20" s="104"/>
      <c r="R20" s="107"/>
    </row>
    <row r="21" spans="1:22" ht="15" customHeight="1">
      <c r="A21" s="85">
        <f>MAX($A$4:A20)+1</f>
        <v>17</v>
      </c>
      <c r="B21" s="108" t="s">
        <v>469</v>
      </c>
      <c r="C21" s="99"/>
      <c r="D21" s="109">
        <f>SUM(D9,D14)</f>
        <v>38848.507713044892</v>
      </c>
      <c r="E21" s="109">
        <f t="shared" ref="E21:P21" si="5">SUM(E9,E14)</f>
        <v>40053.319298470793</v>
      </c>
      <c r="F21" s="109">
        <f t="shared" si="5"/>
        <v>41571.838643620962</v>
      </c>
      <c r="G21" s="109">
        <f t="shared" si="5"/>
        <v>41648.962213291074</v>
      </c>
      <c r="H21" s="109">
        <f t="shared" si="5"/>
        <v>41185.456664300436</v>
      </c>
      <c r="I21" s="109">
        <f t="shared" si="5"/>
        <v>41213.583567303882</v>
      </c>
      <c r="J21" s="109">
        <f t="shared" si="5"/>
        <v>40282.477506250209</v>
      </c>
      <c r="K21" s="109">
        <f t="shared" si="5"/>
        <v>39660.952100046372</v>
      </c>
      <c r="L21" s="109">
        <f t="shared" si="5"/>
        <v>40833.276831705647</v>
      </c>
      <c r="M21" s="109">
        <f t="shared" si="5"/>
        <v>41224.533680548586</v>
      </c>
      <c r="N21" s="109">
        <f t="shared" si="5"/>
        <v>40975.407629342284</v>
      </c>
      <c r="O21" s="109">
        <f t="shared" si="5"/>
        <v>40104.705871587481</v>
      </c>
      <c r="P21" s="109">
        <f t="shared" si="5"/>
        <v>40633.585143292716</v>
      </c>
      <c r="Q21" s="101"/>
      <c r="R21" s="107"/>
    </row>
    <row r="22" spans="1:22" ht="15" customHeight="1">
      <c r="A22" s="85">
        <f>MAX($A$4:A21)+1</f>
        <v>18</v>
      </c>
      <c r="B22" s="139" t="s">
        <v>449</v>
      </c>
      <c r="C22" s="140"/>
      <c r="D22" s="141"/>
      <c r="E22" s="141"/>
      <c r="F22" s="141"/>
      <c r="G22" s="141"/>
      <c r="H22" s="141"/>
      <c r="I22" s="142"/>
      <c r="J22" s="143"/>
      <c r="K22" s="143"/>
      <c r="L22" s="143"/>
      <c r="M22" s="143"/>
      <c r="N22" s="143"/>
      <c r="O22" s="143"/>
      <c r="P22" s="144"/>
      <c r="Q22" s="144"/>
      <c r="R22" s="107"/>
    </row>
    <row r="23" spans="1:22" ht="15" customHeight="1">
      <c r="A23" s="85">
        <f>MAX($A$4:A22)+1</f>
        <v>19</v>
      </c>
      <c r="B23" s="103" t="s">
        <v>209</v>
      </c>
      <c r="C23" s="99" t="s">
        <v>131</v>
      </c>
      <c r="D23" s="105">
        <v>30716</v>
      </c>
      <c r="E23" s="105">
        <v>30716</v>
      </c>
      <c r="F23" s="105">
        <v>30716</v>
      </c>
      <c r="G23" s="105">
        <v>31103</v>
      </c>
      <c r="H23" s="105">
        <v>31103</v>
      </c>
      <c r="I23" s="105">
        <v>31103</v>
      </c>
      <c r="J23" s="105">
        <v>31103</v>
      </c>
      <c r="K23" s="105">
        <v>32303</v>
      </c>
      <c r="L23" s="105">
        <v>32303</v>
      </c>
      <c r="M23" s="105">
        <v>32303</v>
      </c>
      <c r="N23" s="105">
        <v>32803</v>
      </c>
      <c r="O23" s="105">
        <v>32799</v>
      </c>
      <c r="P23" s="101">
        <f t="shared" ref="P23:P27" si="6">AVERAGE(D23:O23)</f>
        <v>31589.25</v>
      </c>
      <c r="Q23" s="101"/>
      <c r="R23" s="102"/>
    </row>
    <row r="24" spans="1:22" ht="15" customHeight="1">
      <c r="A24" s="85">
        <f>MAX($A$4:A23)+1</f>
        <v>20</v>
      </c>
      <c r="B24" s="103" t="s">
        <v>82</v>
      </c>
      <c r="C24" s="99" t="s">
        <v>131</v>
      </c>
      <c r="D24" s="580">
        <v>-302.01121359223299</v>
      </c>
      <c r="E24" s="580">
        <v>-302.01121359223299</v>
      </c>
      <c r="F24" s="580">
        <v>-302.01121359223299</v>
      </c>
      <c r="G24" s="580">
        <v>-302.01121359223299</v>
      </c>
      <c r="H24" s="580">
        <v>-302.01121359223299</v>
      </c>
      <c r="I24" s="580">
        <v>-302.01121359223299</v>
      </c>
      <c r="J24" s="580">
        <v>-302.01121359223299</v>
      </c>
      <c r="K24" s="580">
        <v>-302.01121359223299</v>
      </c>
      <c r="L24" s="580">
        <v>-302.01121359223299</v>
      </c>
      <c r="M24" s="580">
        <v>-302.01121359223299</v>
      </c>
      <c r="N24" s="580">
        <v>-302.01121359223299</v>
      </c>
      <c r="O24" s="580">
        <v>-302.01121359223299</v>
      </c>
      <c r="P24" s="317">
        <f t="shared" si="6"/>
        <v>-302.01121359223305</v>
      </c>
      <c r="Q24" s="101"/>
      <c r="R24" s="102"/>
    </row>
    <row r="25" spans="1:22" ht="15" customHeight="1">
      <c r="A25" s="85">
        <f>MAX($A$4:A24)+1</f>
        <v>21</v>
      </c>
      <c r="B25" s="100" t="s">
        <v>127</v>
      </c>
      <c r="C25" s="99" t="s">
        <v>131</v>
      </c>
      <c r="D25" s="105">
        <f>SUM(D23:D24)</f>
        <v>30413.988786407768</v>
      </c>
      <c r="E25" s="105">
        <f t="shared" ref="E25:O25" si="7">SUM(E23:E24)</f>
        <v>30413.988786407768</v>
      </c>
      <c r="F25" s="105">
        <f t="shared" si="7"/>
        <v>30413.988786407768</v>
      </c>
      <c r="G25" s="105">
        <f t="shared" si="7"/>
        <v>30800.988786407768</v>
      </c>
      <c r="H25" s="105">
        <f t="shared" si="7"/>
        <v>30800.988786407768</v>
      </c>
      <c r="I25" s="105">
        <f t="shared" si="7"/>
        <v>30800.988786407768</v>
      </c>
      <c r="J25" s="105">
        <f t="shared" si="7"/>
        <v>30800.988786407768</v>
      </c>
      <c r="K25" s="105">
        <f t="shared" si="7"/>
        <v>32000.988786407768</v>
      </c>
      <c r="L25" s="105">
        <f t="shared" si="7"/>
        <v>32000.988786407768</v>
      </c>
      <c r="M25" s="105">
        <f t="shared" si="7"/>
        <v>32000.988786407768</v>
      </c>
      <c r="N25" s="105">
        <f t="shared" si="7"/>
        <v>32500.988786407768</v>
      </c>
      <c r="O25" s="105">
        <f t="shared" si="7"/>
        <v>32496.988786407768</v>
      </c>
      <c r="P25" s="104">
        <f>AVERAGE(D25:O25)</f>
        <v>31287.238786407765</v>
      </c>
      <c r="Q25" s="104"/>
      <c r="R25" s="80"/>
    </row>
    <row r="26" spans="1:22" ht="15" customHeight="1">
      <c r="A26" s="85">
        <f>MAX($A$4:A25)+1</f>
        <v>22</v>
      </c>
      <c r="B26" s="100" t="s">
        <v>311</v>
      </c>
      <c r="C26" s="99" t="s">
        <v>131</v>
      </c>
      <c r="D26" s="105">
        <f>D23</f>
        <v>30716</v>
      </c>
      <c r="E26" s="105">
        <f t="shared" ref="E26:O26" si="8">E23</f>
        <v>30716</v>
      </c>
      <c r="F26" s="105">
        <f t="shared" si="8"/>
        <v>30716</v>
      </c>
      <c r="G26" s="105">
        <f t="shared" si="8"/>
        <v>31103</v>
      </c>
      <c r="H26" s="105">
        <f t="shared" si="8"/>
        <v>31103</v>
      </c>
      <c r="I26" s="105">
        <f t="shared" si="8"/>
        <v>31103</v>
      </c>
      <c r="J26" s="105">
        <f t="shared" si="8"/>
        <v>31103</v>
      </c>
      <c r="K26" s="105">
        <f t="shared" si="8"/>
        <v>32303</v>
      </c>
      <c r="L26" s="105">
        <f t="shared" si="8"/>
        <v>32303</v>
      </c>
      <c r="M26" s="105">
        <f t="shared" si="8"/>
        <v>32303</v>
      </c>
      <c r="N26" s="105">
        <f t="shared" si="8"/>
        <v>32803</v>
      </c>
      <c r="O26" s="105">
        <f t="shared" si="8"/>
        <v>32799</v>
      </c>
      <c r="P26" s="104">
        <f t="shared" si="6"/>
        <v>31589.25</v>
      </c>
      <c r="Q26" s="104"/>
      <c r="R26" s="80"/>
    </row>
    <row r="27" spans="1:22" ht="15" customHeight="1">
      <c r="A27" s="85">
        <f>MAX($A$4:A26)+1</f>
        <v>23</v>
      </c>
      <c r="B27" s="100" t="s">
        <v>205</v>
      </c>
      <c r="C27" s="99" t="s">
        <v>131</v>
      </c>
      <c r="D27" s="105">
        <v>72</v>
      </c>
      <c r="E27" s="105">
        <v>72</v>
      </c>
      <c r="F27" s="105">
        <v>72</v>
      </c>
      <c r="G27" s="105">
        <v>72</v>
      </c>
      <c r="H27" s="105">
        <v>72</v>
      </c>
      <c r="I27" s="105">
        <v>72</v>
      </c>
      <c r="J27" s="105">
        <v>72</v>
      </c>
      <c r="K27" s="105">
        <v>72</v>
      </c>
      <c r="L27" s="105">
        <v>72</v>
      </c>
      <c r="M27" s="105">
        <v>72</v>
      </c>
      <c r="N27" s="105">
        <v>72</v>
      </c>
      <c r="O27" s="105">
        <v>72</v>
      </c>
      <c r="P27" s="101">
        <f t="shared" si="6"/>
        <v>72</v>
      </c>
      <c r="Q27" s="104"/>
    </row>
    <row r="28" spans="1:22" ht="15" customHeight="1">
      <c r="A28" s="85">
        <f>MAX($A$4:A27)+1</f>
        <v>24</v>
      </c>
      <c r="B28" s="103" t="s">
        <v>317</v>
      </c>
      <c r="C28" s="99" t="s">
        <v>124</v>
      </c>
      <c r="D28" s="105">
        <v>-107.57705071393401</v>
      </c>
      <c r="E28" s="105">
        <v>-112.44980797636632</v>
      </c>
      <c r="F28" s="105">
        <v>-115.04351058591827</v>
      </c>
      <c r="G28" s="105">
        <v>-120.84536189069424</v>
      </c>
      <c r="H28" s="105">
        <v>-112.70605120630231</v>
      </c>
      <c r="I28" s="105">
        <v>-125.94625800098474</v>
      </c>
      <c r="J28" s="105">
        <v>-62.049044805514527</v>
      </c>
      <c r="K28" s="105">
        <v>-32.625032003938948</v>
      </c>
      <c r="L28" s="105">
        <v>-73.89769079271295</v>
      </c>
      <c r="M28" s="105">
        <v>-72.30825209256524</v>
      </c>
      <c r="N28" s="105">
        <v>-109.11935499753817</v>
      </c>
      <c r="O28" s="105">
        <v>-107.91939438700147</v>
      </c>
      <c r="P28" s="104">
        <f>AVERAGE(D28:O28)</f>
        <v>-96.040567454455925</v>
      </c>
      <c r="Q28" s="104"/>
      <c r="R28" s="102"/>
    </row>
    <row r="29" spans="1:22" ht="15" customHeight="1">
      <c r="A29" s="85">
        <f>MAX($A$4:A28)+1</f>
        <v>25</v>
      </c>
      <c r="B29" s="100" t="s">
        <v>184</v>
      </c>
      <c r="C29" s="99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4"/>
      <c r="Q29" s="104"/>
      <c r="R29" s="80"/>
    </row>
    <row r="30" spans="1:22" ht="15" customHeight="1">
      <c r="A30" s="85">
        <f>MAX($A$4:A29)+1</f>
        <v>26</v>
      </c>
      <c r="B30" s="103" t="s">
        <v>126</v>
      </c>
      <c r="C30" s="99" t="s">
        <v>124</v>
      </c>
      <c r="D30" s="105">
        <v>9343.1523584441165</v>
      </c>
      <c r="E30" s="105">
        <v>10681.568705071393</v>
      </c>
      <c r="F30" s="105">
        <v>12034.425199409157</v>
      </c>
      <c r="G30" s="105">
        <v>12188.482255046776</v>
      </c>
      <c r="H30" s="105">
        <v>11368.923668143771</v>
      </c>
      <c r="I30" s="105">
        <v>10705.11395371738</v>
      </c>
      <c r="J30" s="105">
        <v>9655.9557705563766</v>
      </c>
      <c r="K30" s="105">
        <v>8872.6312998522899</v>
      </c>
      <c r="L30" s="105">
        <v>9874.7631314623341</v>
      </c>
      <c r="M30" s="105">
        <v>10471.943062530772</v>
      </c>
      <c r="N30" s="105">
        <v>10208.223032988675</v>
      </c>
      <c r="O30" s="105">
        <v>9229.2749630723774</v>
      </c>
      <c r="P30" s="104">
        <f>AVERAGE(D30:O30)</f>
        <v>10386.204783357951</v>
      </c>
      <c r="Q30" s="104"/>
      <c r="R30" s="102"/>
    </row>
    <row r="31" spans="1:22" ht="15" customHeight="1">
      <c r="A31" s="85">
        <f>MAX($A$4:A30)+1</f>
        <v>27</v>
      </c>
      <c r="B31" s="103" t="s">
        <v>189</v>
      </c>
      <c r="C31" s="99" t="s">
        <v>124</v>
      </c>
      <c r="D31" s="105">
        <f>D30+D28</f>
        <v>9235.5753077301833</v>
      </c>
      <c r="E31" s="105">
        <f t="shared" ref="E31:O31" si="9">E30+E28</f>
        <v>10569.118897095026</v>
      </c>
      <c r="F31" s="105">
        <f t="shared" si="9"/>
        <v>11919.38168882324</v>
      </c>
      <c r="G31" s="105">
        <f t="shared" si="9"/>
        <v>12067.636893156081</v>
      </c>
      <c r="H31" s="105">
        <f t="shared" si="9"/>
        <v>11256.217616937469</v>
      </c>
      <c r="I31" s="105">
        <f t="shared" si="9"/>
        <v>10579.167695716396</v>
      </c>
      <c r="J31" s="105">
        <f t="shared" si="9"/>
        <v>9593.9067257508614</v>
      </c>
      <c r="K31" s="105">
        <f t="shared" si="9"/>
        <v>8840.00626784835</v>
      </c>
      <c r="L31" s="105">
        <f t="shared" si="9"/>
        <v>9800.8654406696205</v>
      </c>
      <c r="M31" s="105">
        <f t="shared" si="9"/>
        <v>10399.634810438207</v>
      </c>
      <c r="N31" s="105">
        <f t="shared" si="9"/>
        <v>10099.103677991137</v>
      </c>
      <c r="O31" s="105">
        <f t="shared" si="9"/>
        <v>9121.3555686853761</v>
      </c>
      <c r="P31" s="104">
        <f>AVERAGE(D31:O31)</f>
        <v>10290.164215903495</v>
      </c>
      <c r="Q31" s="104"/>
      <c r="R31" s="102"/>
    </row>
    <row r="32" spans="1:22" ht="15" customHeight="1">
      <c r="A32" s="85">
        <f>MAX($A$4:A31)+1</f>
        <v>28</v>
      </c>
      <c r="B32" s="103" t="s">
        <v>399</v>
      </c>
      <c r="C32" s="99" t="s">
        <v>123</v>
      </c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5"/>
      <c r="P32" s="104">
        <f>MAX(D31:O31)</f>
        <v>12067.636893156081</v>
      </c>
      <c r="Q32" s="104"/>
      <c r="R32" s="80"/>
    </row>
    <row r="33" spans="1:18" ht="15" customHeight="1">
      <c r="A33" s="85">
        <f>MAX($A$4:A32)+1</f>
        <v>29</v>
      </c>
      <c r="B33" s="100" t="s">
        <v>185</v>
      </c>
      <c r="C33" s="99"/>
      <c r="D33" s="105"/>
      <c r="E33" s="105"/>
      <c r="F33" s="105"/>
      <c r="G33" s="105"/>
      <c r="H33" s="105"/>
      <c r="I33" s="105"/>
      <c r="J33" s="105"/>
      <c r="K33" s="105"/>
      <c r="L33" s="105"/>
      <c r="M33" s="105"/>
      <c r="N33" s="105"/>
      <c r="O33" s="105"/>
      <c r="P33" s="104"/>
      <c r="Q33" s="104"/>
      <c r="R33" s="80"/>
    </row>
    <row r="34" spans="1:18" ht="15" customHeight="1">
      <c r="A34" s="85">
        <f>MAX($A$4:A33)+1</f>
        <v>30</v>
      </c>
      <c r="B34" s="103" t="s">
        <v>126</v>
      </c>
      <c r="C34" s="99" t="s">
        <v>197</v>
      </c>
      <c r="D34" s="105">
        <v>11422.446597735105</v>
      </c>
      <c r="E34" s="105">
        <v>12541.018685376661</v>
      </c>
      <c r="F34" s="105">
        <v>13960.938926637125</v>
      </c>
      <c r="G34" s="105">
        <v>13996.803717380601</v>
      </c>
      <c r="H34" s="105">
        <v>13454.875056622353</v>
      </c>
      <c r="I34" s="105">
        <v>12622.901063515508</v>
      </c>
      <c r="J34" s="105">
        <v>11928.534288527819</v>
      </c>
      <c r="K34" s="105">
        <v>10748.56277203348</v>
      </c>
      <c r="L34" s="105">
        <v>11258.685145248646</v>
      </c>
      <c r="M34" s="105">
        <v>11668.669473165928</v>
      </c>
      <c r="N34" s="105">
        <v>11728.393929098966</v>
      </c>
      <c r="O34" s="105">
        <v>10559.729320531758</v>
      </c>
      <c r="P34" s="104">
        <f>AVERAGE(D34:O34)</f>
        <v>12157.629914656163</v>
      </c>
      <c r="Q34" s="104"/>
      <c r="R34" s="80"/>
    </row>
    <row r="35" spans="1:18" ht="15" customHeight="1">
      <c r="A35" s="85">
        <f>MAX($A$4:A34)+1</f>
        <v>31</v>
      </c>
      <c r="B35" s="103" t="s">
        <v>189</v>
      </c>
      <c r="C35" s="99" t="s">
        <v>197</v>
      </c>
      <c r="D35" s="105">
        <f>D34+D28</f>
        <v>11314.869547021171</v>
      </c>
      <c r="E35" s="105">
        <f t="shared" ref="E35:O35" si="10">E34+E28</f>
        <v>12428.568877400294</v>
      </c>
      <c r="F35" s="105">
        <f t="shared" si="10"/>
        <v>13845.895416051208</v>
      </c>
      <c r="G35" s="105">
        <f t="shared" si="10"/>
        <v>13875.958355489905</v>
      </c>
      <c r="H35" s="105">
        <f t="shared" si="10"/>
        <v>13342.169005416052</v>
      </c>
      <c r="I35" s="105">
        <f t="shared" si="10"/>
        <v>12496.954805514524</v>
      </c>
      <c r="J35" s="105">
        <f t="shared" si="10"/>
        <v>11866.485243722303</v>
      </c>
      <c r="K35" s="105">
        <f t="shared" si="10"/>
        <v>10715.93774002954</v>
      </c>
      <c r="L35" s="105">
        <f t="shared" si="10"/>
        <v>11184.787454455933</v>
      </c>
      <c r="M35" s="105">
        <f t="shared" si="10"/>
        <v>11596.361221073363</v>
      </c>
      <c r="N35" s="105">
        <f t="shared" si="10"/>
        <v>11619.274574101428</v>
      </c>
      <c r="O35" s="105">
        <f t="shared" si="10"/>
        <v>10451.809926144757</v>
      </c>
      <c r="P35" s="104">
        <f>AVERAGE(D35:O35)</f>
        <v>12061.589347201705</v>
      </c>
      <c r="Q35" s="104"/>
      <c r="R35" s="102"/>
    </row>
    <row r="36" spans="1:18" ht="15" customHeight="1">
      <c r="A36" s="85">
        <f>MAX($A$4:A35)+1</f>
        <v>32</v>
      </c>
      <c r="B36" s="103" t="s">
        <v>399</v>
      </c>
      <c r="C36" s="99" t="s">
        <v>198</v>
      </c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4">
        <f>MAX(D35:O35)</f>
        <v>13875.958355489905</v>
      </c>
      <c r="Q36" s="104"/>
      <c r="R36" s="80"/>
    </row>
    <row r="37" spans="1:18" ht="15" customHeight="1">
      <c r="A37" s="85">
        <f>MAX($A$4:A36)+1</f>
        <v>33</v>
      </c>
      <c r="B37" s="108" t="s">
        <v>470</v>
      </c>
      <c r="C37" s="99"/>
      <c r="D37" s="109">
        <f>SUM(,D25,D30)</f>
        <v>39757.141144851885</v>
      </c>
      <c r="E37" s="109">
        <f t="shared" ref="E37:P37" si="11">SUM(,E25,E30)</f>
        <v>41095.557491479165</v>
      </c>
      <c r="F37" s="109">
        <f t="shared" si="11"/>
        <v>42448.413985816922</v>
      </c>
      <c r="G37" s="109">
        <f t="shared" si="11"/>
        <v>42989.471041454541</v>
      </c>
      <c r="H37" s="109">
        <f t="shared" si="11"/>
        <v>42169.912454551537</v>
      </c>
      <c r="I37" s="109">
        <f t="shared" si="11"/>
        <v>41506.102740125149</v>
      </c>
      <c r="J37" s="109">
        <f t="shared" si="11"/>
        <v>40456.944556964147</v>
      </c>
      <c r="K37" s="109">
        <f t="shared" si="11"/>
        <v>40873.62008626006</v>
      </c>
      <c r="L37" s="109">
        <f t="shared" si="11"/>
        <v>41875.751917870104</v>
      </c>
      <c r="M37" s="109">
        <f t="shared" si="11"/>
        <v>42472.93184893854</v>
      </c>
      <c r="N37" s="109">
        <f t="shared" si="11"/>
        <v>42709.211819396442</v>
      </c>
      <c r="O37" s="109">
        <f t="shared" si="11"/>
        <v>41726.263749480146</v>
      </c>
      <c r="P37" s="109">
        <f t="shared" si="11"/>
        <v>41673.443569765717</v>
      </c>
      <c r="Q37" s="101"/>
      <c r="R37" s="80"/>
    </row>
    <row r="38" spans="1:18" ht="15" customHeight="1">
      <c r="A38" s="85">
        <f>MAX($A$4:A37)+1</f>
        <v>34</v>
      </c>
      <c r="B38" s="139" t="s">
        <v>450</v>
      </c>
      <c r="C38" s="140"/>
      <c r="D38" s="141"/>
      <c r="E38" s="141"/>
      <c r="F38" s="141"/>
      <c r="G38" s="141"/>
      <c r="H38" s="141"/>
      <c r="I38" s="142"/>
      <c r="J38" s="143"/>
      <c r="K38" s="143"/>
      <c r="L38" s="143"/>
      <c r="M38" s="143"/>
      <c r="N38" s="143"/>
      <c r="O38" s="143"/>
      <c r="P38" s="144"/>
      <c r="Q38" s="144"/>
      <c r="R38" s="80"/>
    </row>
    <row r="39" spans="1:18" ht="15" customHeight="1">
      <c r="A39" s="85">
        <f>MAX($A$4:A38)+1</f>
        <v>35</v>
      </c>
      <c r="B39" s="103" t="s">
        <v>209</v>
      </c>
      <c r="C39" s="99" t="s">
        <v>131</v>
      </c>
      <c r="D39" s="105">
        <v>32796</v>
      </c>
      <c r="E39" s="105">
        <v>32796</v>
      </c>
      <c r="F39" s="105">
        <v>32745</v>
      </c>
      <c r="G39" s="105">
        <v>32739</v>
      </c>
      <c r="H39" s="105">
        <v>32739</v>
      </c>
      <c r="I39" s="105">
        <v>32739</v>
      </c>
      <c r="J39" s="105">
        <v>33725</v>
      </c>
      <c r="K39" s="105">
        <v>33800</v>
      </c>
      <c r="L39" s="105">
        <v>33850</v>
      </c>
      <c r="M39" s="105">
        <v>33850</v>
      </c>
      <c r="N39" s="105">
        <v>33850</v>
      </c>
      <c r="O39" s="105">
        <v>33850</v>
      </c>
      <c r="P39" s="101">
        <f t="shared" ref="P39:P40" si="12">AVERAGE(D39:O39)</f>
        <v>33289.916666666664</v>
      </c>
      <c r="Q39" s="101"/>
      <c r="R39" s="102"/>
    </row>
    <row r="40" spans="1:18" ht="15" customHeight="1">
      <c r="A40" s="85">
        <f>MAX($A$4:A39)+1</f>
        <v>36</v>
      </c>
      <c r="B40" s="103" t="s">
        <v>82</v>
      </c>
      <c r="C40" s="99" t="s">
        <v>131</v>
      </c>
      <c r="D40" s="580">
        <v>-302.01121359223299</v>
      </c>
      <c r="E40" s="580">
        <v>-302.01121359223299</v>
      </c>
      <c r="F40" s="580">
        <v>-302.01121359223299</v>
      </c>
      <c r="G40" s="580">
        <v>-302.01121359223299</v>
      </c>
      <c r="H40" s="580">
        <v>-302.01121359223299</v>
      </c>
      <c r="I40" s="580">
        <v>-302.01121359223299</v>
      </c>
      <c r="J40" s="580">
        <v>-302.01121359223299</v>
      </c>
      <c r="K40" s="580">
        <v>-302.01121359223299</v>
      </c>
      <c r="L40" s="580">
        <v>-302.01121359223299</v>
      </c>
      <c r="M40" s="580">
        <v>-302.01121359223299</v>
      </c>
      <c r="N40" s="580">
        <v>-302.01121359223299</v>
      </c>
      <c r="O40" s="580">
        <v>-302.01121359223299</v>
      </c>
      <c r="P40" s="317">
        <f t="shared" si="12"/>
        <v>-302.01121359223305</v>
      </c>
      <c r="Q40" s="101"/>
      <c r="R40" s="80"/>
    </row>
    <row r="41" spans="1:18" ht="15" customHeight="1">
      <c r="A41" s="85">
        <f>MAX($A$4:A40)+1</f>
        <v>37</v>
      </c>
      <c r="B41" s="100" t="s">
        <v>127</v>
      </c>
      <c r="C41" s="99" t="s">
        <v>131</v>
      </c>
      <c r="D41" s="105">
        <f>SUM(D39:D40)</f>
        <v>32493.988786407768</v>
      </c>
      <c r="E41" s="105">
        <f t="shared" ref="E41:O41" si="13">SUM(E39:E40)</f>
        <v>32493.988786407768</v>
      </c>
      <c r="F41" s="105">
        <f t="shared" si="13"/>
        <v>32442.988786407768</v>
      </c>
      <c r="G41" s="105">
        <f t="shared" si="13"/>
        <v>32436.988786407768</v>
      </c>
      <c r="H41" s="105">
        <f t="shared" si="13"/>
        <v>32436.988786407768</v>
      </c>
      <c r="I41" s="105">
        <f t="shared" si="13"/>
        <v>32436.988786407768</v>
      </c>
      <c r="J41" s="105">
        <f t="shared" si="13"/>
        <v>33422.988786407768</v>
      </c>
      <c r="K41" s="105">
        <f t="shared" si="13"/>
        <v>33497.988786407768</v>
      </c>
      <c r="L41" s="105">
        <f t="shared" si="13"/>
        <v>33547.988786407768</v>
      </c>
      <c r="M41" s="105">
        <f t="shared" si="13"/>
        <v>33547.988786407768</v>
      </c>
      <c r="N41" s="105">
        <f t="shared" si="13"/>
        <v>33547.988786407768</v>
      </c>
      <c r="O41" s="105">
        <f t="shared" si="13"/>
        <v>33547.988786407768</v>
      </c>
      <c r="P41" s="104">
        <f>AVERAGE(D41:O41)</f>
        <v>32987.905453074432</v>
      </c>
      <c r="Q41" s="104"/>
      <c r="R41" s="80"/>
    </row>
    <row r="42" spans="1:18" ht="15" customHeight="1">
      <c r="A42" s="85">
        <f>MAX($A$4:A41)+1</f>
        <v>38</v>
      </c>
      <c r="B42" s="100" t="s">
        <v>311</v>
      </c>
      <c r="C42" s="99" t="s">
        <v>131</v>
      </c>
      <c r="D42" s="105">
        <f>D39</f>
        <v>32796</v>
      </c>
      <c r="E42" s="105">
        <f t="shared" ref="E42:O42" si="14">E39</f>
        <v>32796</v>
      </c>
      <c r="F42" s="105">
        <f t="shared" si="14"/>
        <v>32745</v>
      </c>
      <c r="G42" s="105">
        <f t="shared" si="14"/>
        <v>32739</v>
      </c>
      <c r="H42" s="105">
        <f t="shared" si="14"/>
        <v>32739</v>
      </c>
      <c r="I42" s="105">
        <f t="shared" si="14"/>
        <v>32739</v>
      </c>
      <c r="J42" s="105">
        <f t="shared" si="14"/>
        <v>33725</v>
      </c>
      <c r="K42" s="105">
        <f t="shared" si="14"/>
        <v>33800</v>
      </c>
      <c r="L42" s="105">
        <f t="shared" si="14"/>
        <v>33850</v>
      </c>
      <c r="M42" s="105">
        <f t="shared" si="14"/>
        <v>33850</v>
      </c>
      <c r="N42" s="105">
        <f t="shared" si="14"/>
        <v>33850</v>
      </c>
      <c r="O42" s="105">
        <f t="shared" si="14"/>
        <v>33850</v>
      </c>
      <c r="P42" s="104">
        <f t="shared" ref="P42:P43" si="15">AVERAGE(D42:O42)</f>
        <v>33289.916666666664</v>
      </c>
      <c r="Q42" s="104"/>
      <c r="R42" s="80"/>
    </row>
    <row r="43" spans="1:18" ht="15" customHeight="1">
      <c r="A43" s="85">
        <f>MAX($A$4:A42)+1</f>
        <v>39</v>
      </c>
      <c r="B43" s="100" t="s">
        <v>205</v>
      </c>
      <c r="C43" s="99" t="s">
        <v>131</v>
      </c>
      <c r="D43" s="105">
        <v>72</v>
      </c>
      <c r="E43" s="105">
        <v>72</v>
      </c>
      <c r="F43" s="105">
        <v>72</v>
      </c>
      <c r="G43" s="105">
        <v>72</v>
      </c>
      <c r="H43" s="105">
        <v>72</v>
      </c>
      <c r="I43" s="105">
        <v>72</v>
      </c>
      <c r="J43" s="105">
        <v>72</v>
      </c>
      <c r="K43" s="105">
        <v>72</v>
      </c>
      <c r="L43" s="105">
        <v>72</v>
      </c>
      <c r="M43" s="105">
        <v>72</v>
      </c>
      <c r="N43" s="105">
        <v>72</v>
      </c>
      <c r="O43" s="105">
        <v>72</v>
      </c>
      <c r="P43" s="101">
        <f t="shared" si="15"/>
        <v>72</v>
      </c>
      <c r="Q43" s="104"/>
      <c r="R43" s="80"/>
    </row>
    <row r="44" spans="1:18" ht="15" customHeight="1">
      <c r="A44" s="85">
        <f>MAX($A$4:A43)+1</f>
        <v>40</v>
      </c>
      <c r="B44" s="103" t="s">
        <v>317</v>
      </c>
      <c r="C44" s="99" t="s">
        <v>124</v>
      </c>
      <c r="D44" s="105">
        <v>-107.57705071393401</v>
      </c>
      <c r="E44" s="105">
        <v>-112.44980797636632</v>
      </c>
      <c r="F44" s="105">
        <v>-115.04351058591827</v>
      </c>
      <c r="G44" s="105">
        <v>-120.84536189069424</v>
      </c>
      <c r="H44" s="105">
        <v>-112.70605120630231</v>
      </c>
      <c r="I44" s="105">
        <v>-125.94625800098474</v>
      </c>
      <c r="J44" s="105">
        <v>-62.049044805514527</v>
      </c>
      <c r="K44" s="105">
        <v>-32.625032003938948</v>
      </c>
      <c r="L44" s="105">
        <v>-73.89769079271295</v>
      </c>
      <c r="M44" s="105">
        <v>-72.30825209256524</v>
      </c>
      <c r="N44" s="105">
        <v>-109.11935499753817</v>
      </c>
      <c r="O44" s="105">
        <v>-107.91939438700147</v>
      </c>
      <c r="P44" s="104">
        <f>AVERAGE(D44:O44)</f>
        <v>-96.040567454455925</v>
      </c>
      <c r="Q44" s="104"/>
      <c r="R44" s="80"/>
    </row>
    <row r="45" spans="1:18" ht="15" customHeight="1">
      <c r="A45" s="85">
        <f>MAX($A$4:A44)+1</f>
        <v>41</v>
      </c>
      <c r="B45" s="100" t="s">
        <v>184</v>
      </c>
      <c r="C45" s="99"/>
      <c r="D45" s="105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4"/>
      <c r="Q45" s="104"/>
      <c r="R45" s="80"/>
    </row>
    <row r="46" spans="1:18" ht="15" customHeight="1">
      <c r="A46" s="85">
        <f>MAX($A$4:A45)+1</f>
        <v>42</v>
      </c>
      <c r="B46" s="103" t="s">
        <v>126</v>
      </c>
      <c r="C46" s="99" t="s">
        <v>124</v>
      </c>
      <c r="D46" s="105">
        <v>9851.9357213195472</v>
      </c>
      <c r="E46" s="105">
        <v>11221.427124569176</v>
      </c>
      <c r="F46" s="105">
        <v>12547.726617429838</v>
      </c>
      <c r="G46" s="105">
        <v>12704.340989660266</v>
      </c>
      <c r="H46" s="105">
        <v>11831.781157065485</v>
      </c>
      <c r="I46" s="105">
        <v>11213.662358444117</v>
      </c>
      <c r="J46" s="105">
        <v>10163.35910388971</v>
      </c>
      <c r="K46" s="105">
        <v>9395.7587247661249</v>
      </c>
      <c r="L46" s="105">
        <v>10414.051629739044</v>
      </c>
      <c r="M46" s="105">
        <v>11022.528483505663</v>
      </c>
      <c r="N46" s="105">
        <v>10705.985071393403</v>
      </c>
      <c r="O46" s="105">
        <v>9777.2530723781383</v>
      </c>
      <c r="P46" s="104">
        <f>AVERAGE(D46:O46)</f>
        <v>10904.15083784671</v>
      </c>
      <c r="Q46" s="104"/>
      <c r="R46" s="80"/>
    </row>
    <row r="47" spans="1:18" ht="15" customHeight="1">
      <c r="A47" s="85">
        <f>MAX($A$4:A46)+1</f>
        <v>43</v>
      </c>
      <c r="B47" s="103" t="s">
        <v>189</v>
      </c>
      <c r="C47" s="99" t="s">
        <v>124</v>
      </c>
      <c r="D47" s="105">
        <f>D46+D44</f>
        <v>9744.358670605614</v>
      </c>
      <c r="E47" s="105">
        <f t="shared" ref="E47:O47" si="16">E46+E44</f>
        <v>11108.977316592809</v>
      </c>
      <c r="F47" s="105">
        <f t="shared" si="16"/>
        <v>12432.683106843921</v>
      </c>
      <c r="G47" s="105">
        <f t="shared" si="16"/>
        <v>12583.495627769571</v>
      </c>
      <c r="H47" s="105">
        <f t="shared" si="16"/>
        <v>11719.075105859183</v>
      </c>
      <c r="I47" s="105">
        <f t="shared" si="16"/>
        <v>11087.716100443133</v>
      </c>
      <c r="J47" s="105">
        <f t="shared" si="16"/>
        <v>10101.310059084195</v>
      </c>
      <c r="K47" s="105">
        <f t="shared" si="16"/>
        <v>9363.1336927621851</v>
      </c>
      <c r="L47" s="105">
        <f t="shared" si="16"/>
        <v>10340.153938946331</v>
      </c>
      <c r="M47" s="105">
        <f t="shared" si="16"/>
        <v>10950.220231413097</v>
      </c>
      <c r="N47" s="105">
        <f t="shared" si="16"/>
        <v>10596.865716395865</v>
      </c>
      <c r="O47" s="105">
        <f t="shared" si="16"/>
        <v>9669.3336779911369</v>
      </c>
      <c r="P47" s="104">
        <f>AVERAGE(D47:O47)</f>
        <v>10808.110270392253</v>
      </c>
      <c r="Q47" s="104"/>
      <c r="R47" s="80"/>
    </row>
    <row r="48" spans="1:18" ht="15" customHeight="1">
      <c r="A48" s="85">
        <f>MAX($A$4:A47)+1</f>
        <v>44</v>
      </c>
      <c r="B48" s="103" t="s">
        <v>399</v>
      </c>
      <c r="C48" s="99" t="s">
        <v>123</v>
      </c>
      <c r="D48" s="105"/>
      <c r="E48" s="105"/>
      <c r="F48" s="105"/>
      <c r="G48" s="105"/>
      <c r="H48" s="105"/>
      <c r="I48" s="105"/>
      <c r="J48" s="105"/>
      <c r="K48" s="105"/>
      <c r="L48" s="105"/>
      <c r="M48" s="105"/>
      <c r="N48" s="105"/>
      <c r="O48" s="105"/>
      <c r="P48" s="104">
        <f>MAX(D47:O47)</f>
        <v>12583.495627769571</v>
      </c>
      <c r="Q48" s="104"/>
      <c r="R48" s="80"/>
    </row>
    <row r="49" spans="1:18" ht="15" customHeight="1">
      <c r="A49" s="85">
        <f>MAX($A$4:A48)+1</f>
        <v>45</v>
      </c>
      <c r="B49" s="100" t="s">
        <v>185</v>
      </c>
      <c r="C49" s="99"/>
      <c r="D49" s="105"/>
      <c r="E49" s="105"/>
      <c r="F49" s="105"/>
      <c r="G49" s="105"/>
      <c r="H49" s="105"/>
      <c r="I49" s="105"/>
      <c r="J49" s="105"/>
      <c r="K49" s="105"/>
      <c r="L49" s="105"/>
      <c r="M49" s="105"/>
      <c r="N49" s="105"/>
      <c r="O49" s="105"/>
      <c r="P49" s="104"/>
      <c r="Q49" s="104"/>
      <c r="R49" s="80"/>
    </row>
    <row r="50" spans="1:18" ht="15" customHeight="1">
      <c r="A50" s="85">
        <f>MAX($A$4:A49)+1</f>
        <v>46</v>
      </c>
      <c r="B50" s="103" t="s">
        <v>126</v>
      </c>
      <c r="C50" s="99" t="s">
        <v>197</v>
      </c>
      <c r="D50" s="105">
        <v>12008.594849827672</v>
      </c>
      <c r="E50" s="105">
        <v>13130.714958148694</v>
      </c>
      <c r="F50" s="105">
        <v>14517.829606105366</v>
      </c>
      <c r="G50" s="105">
        <v>14556.889217134416</v>
      </c>
      <c r="H50" s="105">
        <v>13999.644347612015</v>
      </c>
      <c r="I50" s="105">
        <v>13200.883407188576</v>
      </c>
      <c r="J50" s="105">
        <v>12516.767636632201</v>
      </c>
      <c r="K50" s="105">
        <v>11304.938842934514</v>
      </c>
      <c r="L50" s="105">
        <v>11829.920610536683</v>
      </c>
      <c r="M50" s="105">
        <v>12234.602053175775</v>
      </c>
      <c r="N50" s="105">
        <v>12285.889916297392</v>
      </c>
      <c r="O50" s="105">
        <v>11128.523077301823</v>
      </c>
      <c r="P50" s="104">
        <f>AVERAGE(D50:O50)</f>
        <v>12726.266543574595</v>
      </c>
      <c r="Q50" s="104"/>
      <c r="R50" s="80"/>
    </row>
    <row r="51" spans="1:18" ht="15" customHeight="1">
      <c r="A51" s="85">
        <f>MAX($A$4:A50)+1</f>
        <v>47</v>
      </c>
      <c r="B51" s="103" t="s">
        <v>189</v>
      </c>
      <c r="C51" s="99" t="s">
        <v>197</v>
      </c>
      <c r="D51" s="105">
        <f>D50+D44</f>
        <v>11901.017799113739</v>
      </c>
      <c r="E51" s="105">
        <f t="shared" ref="E51:O51" si="17">E50+E44</f>
        <v>13018.265150172327</v>
      </c>
      <c r="F51" s="105">
        <f t="shared" si="17"/>
        <v>14402.786095519448</v>
      </c>
      <c r="G51" s="105">
        <f t="shared" si="17"/>
        <v>14436.043855243721</v>
      </c>
      <c r="H51" s="105">
        <f t="shared" si="17"/>
        <v>13886.938296405713</v>
      </c>
      <c r="I51" s="105">
        <f t="shared" si="17"/>
        <v>13074.937149187592</v>
      </c>
      <c r="J51" s="105">
        <f t="shared" si="17"/>
        <v>12454.718591826686</v>
      </c>
      <c r="K51" s="105">
        <f t="shared" si="17"/>
        <v>11272.313810930575</v>
      </c>
      <c r="L51" s="105">
        <f t="shared" si="17"/>
        <v>11756.022919743969</v>
      </c>
      <c r="M51" s="105">
        <f t="shared" si="17"/>
        <v>12162.293801083209</v>
      </c>
      <c r="N51" s="105">
        <f t="shared" si="17"/>
        <v>12176.770561299854</v>
      </c>
      <c r="O51" s="105">
        <f t="shared" si="17"/>
        <v>11020.603682914822</v>
      </c>
      <c r="P51" s="104">
        <f>AVERAGE(D51:O51)</f>
        <v>12630.225976120137</v>
      </c>
      <c r="Q51" s="104"/>
      <c r="R51" s="80"/>
    </row>
    <row r="52" spans="1:18" ht="15" customHeight="1">
      <c r="A52" s="85">
        <f>MAX($A$4:A51)+1</f>
        <v>48</v>
      </c>
      <c r="B52" s="103" t="s">
        <v>399</v>
      </c>
      <c r="C52" s="99" t="s">
        <v>198</v>
      </c>
      <c r="D52" s="105"/>
      <c r="E52" s="105"/>
      <c r="F52" s="105"/>
      <c r="G52" s="105"/>
      <c r="H52" s="105"/>
      <c r="I52" s="105"/>
      <c r="J52" s="105"/>
      <c r="K52" s="105"/>
      <c r="L52" s="105"/>
      <c r="M52" s="105"/>
      <c r="N52" s="105"/>
      <c r="O52" s="105"/>
      <c r="P52" s="104">
        <f>MAX(D51:O51)</f>
        <v>14436.043855243721</v>
      </c>
      <c r="Q52" s="104"/>
      <c r="R52" s="80"/>
    </row>
    <row r="53" spans="1:18" ht="15" customHeight="1">
      <c r="A53" s="85">
        <f>MAX($A$4:A52)+1</f>
        <v>49</v>
      </c>
      <c r="B53" s="108" t="s">
        <v>471</v>
      </c>
      <c r="C53" s="99"/>
      <c r="D53" s="109">
        <f>SUM(D41,D46)</f>
        <v>42345.924507727315</v>
      </c>
      <c r="E53" s="109">
        <f t="shared" ref="E53:P53" si="18">SUM(E41,E46)</f>
        <v>43715.415910976946</v>
      </c>
      <c r="F53" s="109">
        <f t="shared" si="18"/>
        <v>44990.715403837603</v>
      </c>
      <c r="G53" s="109">
        <f t="shared" si="18"/>
        <v>45141.329776068036</v>
      </c>
      <c r="H53" s="109">
        <f t="shared" si="18"/>
        <v>44268.769943473249</v>
      </c>
      <c r="I53" s="109">
        <f t="shared" si="18"/>
        <v>43650.651144851887</v>
      </c>
      <c r="J53" s="109">
        <f t="shared" si="18"/>
        <v>43586.347890297475</v>
      </c>
      <c r="K53" s="109">
        <f t="shared" si="18"/>
        <v>42893.74751117389</v>
      </c>
      <c r="L53" s="109">
        <f t="shared" si="18"/>
        <v>43962.04041614681</v>
      </c>
      <c r="M53" s="109">
        <f t="shared" si="18"/>
        <v>44570.517269913427</v>
      </c>
      <c r="N53" s="109">
        <f t="shared" si="18"/>
        <v>44253.973857801175</v>
      </c>
      <c r="O53" s="109">
        <f t="shared" si="18"/>
        <v>43325.241858785907</v>
      </c>
      <c r="P53" s="109">
        <f t="shared" si="18"/>
        <v>43892.056290921144</v>
      </c>
      <c r="Q53" s="101"/>
      <c r="R53" s="80"/>
    </row>
    <row r="54" spans="1:18" ht="15" customHeight="1">
      <c r="A54" s="85">
        <f>MAX($A$4:A53)+1</f>
        <v>50</v>
      </c>
      <c r="B54" s="139" t="s">
        <v>98</v>
      </c>
      <c r="C54" s="140"/>
      <c r="D54" s="141"/>
      <c r="E54" s="141"/>
      <c r="F54" s="141"/>
      <c r="G54" s="141"/>
      <c r="H54" s="141"/>
      <c r="I54" s="142"/>
      <c r="J54" s="143"/>
      <c r="K54" s="143"/>
      <c r="L54" s="143"/>
      <c r="M54" s="143"/>
      <c r="N54" s="143"/>
      <c r="O54" s="143"/>
      <c r="P54" s="144"/>
      <c r="Q54" s="144"/>
      <c r="R54" s="80"/>
    </row>
    <row r="55" spans="1:18" ht="15" customHeight="1">
      <c r="A55" s="85">
        <f>MAX($A$4:A54)+1</f>
        <v>51</v>
      </c>
      <c r="B55" s="100" t="s">
        <v>127</v>
      </c>
      <c r="C55" s="99" t="s">
        <v>131</v>
      </c>
      <c r="D55" s="105">
        <f t="shared" ref="D55:P55" si="19">AVERAGE(D9,D25,D41)</f>
        <v>31255.3221197411</v>
      </c>
      <c r="E55" s="105">
        <f t="shared" si="19"/>
        <v>31267.988786407765</v>
      </c>
      <c r="F55" s="105">
        <f t="shared" si="19"/>
        <v>31335.988786407765</v>
      </c>
      <c r="G55" s="105">
        <f t="shared" si="19"/>
        <v>31454.655453074432</v>
      </c>
      <c r="H55" s="105">
        <f t="shared" si="19"/>
        <v>31521.3221197411</v>
      </c>
      <c r="I55" s="105">
        <f t="shared" si="19"/>
        <v>31724.655453074432</v>
      </c>
      <c r="J55" s="105">
        <f t="shared" si="19"/>
        <v>32051.3221197411</v>
      </c>
      <c r="K55" s="105">
        <f t="shared" si="19"/>
        <v>32482.988786407765</v>
      </c>
      <c r="L55" s="105">
        <f t="shared" si="19"/>
        <v>32567.3221197411</v>
      </c>
      <c r="M55" s="105">
        <f t="shared" si="19"/>
        <v>32526.988786407765</v>
      </c>
      <c r="N55" s="105">
        <f t="shared" si="19"/>
        <v>32693.655453074432</v>
      </c>
      <c r="O55" s="105">
        <f t="shared" si="19"/>
        <v>32692.3221197411</v>
      </c>
      <c r="P55" s="101">
        <f t="shared" si="19"/>
        <v>31964.544341963319</v>
      </c>
      <c r="Q55" s="101"/>
      <c r="R55" s="80"/>
    </row>
    <row r="56" spans="1:18" ht="15" customHeight="1">
      <c r="A56" s="85">
        <f>MAX($A$4:A55)+1</f>
        <v>52</v>
      </c>
      <c r="B56" s="100" t="s">
        <v>311</v>
      </c>
      <c r="C56" s="99" t="s">
        <v>131</v>
      </c>
      <c r="D56" s="105">
        <f t="shared" ref="D56:P56" si="20">AVERAGE(D10,D26,D42)</f>
        <v>31557.333333333332</v>
      </c>
      <c r="E56" s="105">
        <f t="shared" si="20"/>
        <v>31570</v>
      </c>
      <c r="F56" s="105">
        <f t="shared" si="20"/>
        <v>31638</v>
      </c>
      <c r="G56" s="105">
        <f t="shared" si="20"/>
        <v>31756.666666666668</v>
      </c>
      <c r="H56" s="105">
        <f t="shared" si="20"/>
        <v>31823.333333333332</v>
      </c>
      <c r="I56" s="105">
        <f t="shared" si="20"/>
        <v>32026.666666666668</v>
      </c>
      <c r="J56" s="105">
        <f t="shared" si="20"/>
        <v>32353.333333333332</v>
      </c>
      <c r="K56" s="105">
        <f t="shared" si="20"/>
        <v>32785</v>
      </c>
      <c r="L56" s="105">
        <f t="shared" si="20"/>
        <v>32869.333333333336</v>
      </c>
      <c r="M56" s="105">
        <f t="shared" si="20"/>
        <v>32829</v>
      </c>
      <c r="N56" s="105">
        <f t="shared" si="20"/>
        <v>32995.666666666664</v>
      </c>
      <c r="O56" s="105">
        <f t="shared" si="20"/>
        <v>32994.333333333336</v>
      </c>
      <c r="P56" s="101">
        <f t="shared" si="20"/>
        <v>32266.555555555551</v>
      </c>
      <c r="Q56" s="101"/>
      <c r="R56" s="80"/>
    </row>
    <row r="57" spans="1:18" ht="15" customHeight="1">
      <c r="A57" s="85">
        <f>MAX($A$4:A56)+1</f>
        <v>53</v>
      </c>
      <c r="B57" s="100" t="s">
        <v>205</v>
      </c>
      <c r="C57" s="99" t="s">
        <v>131</v>
      </c>
      <c r="D57" s="105">
        <f t="shared" ref="D57:P57" si="21">AVERAGE(D11,D27,D43)</f>
        <v>72</v>
      </c>
      <c r="E57" s="105">
        <f t="shared" si="21"/>
        <v>72</v>
      </c>
      <c r="F57" s="105">
        <f t="shared" si="21"/>
        <v>72</v>
      </c>
      <c r="G57" s="105">
        <f t="shared" si="21"/>
        <v>72</v>
      </c>
      <c r="H57" s="105">
        <f t="shared" si="21"/>
        <v>72</v>
      </c>
      <c r="I57" s="105">
        <f t="shared" si="21"/>
        <v>72</v>
      </c>
      <c r="J57" s="105">
        <f t="shared" si="21"/>
        <v>72</v>
      </c>
      <c r="K57" s="105">
        <f t="shared" si="21"/>
        <v>72</v>
      </c>
      <c r="L57" s="105">
        <f t="shared" si="21"/>
        <v>72</v>
      </c>
      <c r="M57" s="105">
        <f t="shared" si="21"/>
        <v>72</v>
      </c>
      <c r="N57" s="105">
        <f t="shared" si="21"/>
        <v>72</v>
      </c>
      <c r="O57" s="105">
        <f t="shared" si="21"/>
        <v>72</v>
      </c>
      <c r="P57" s="101">
        <f t="shared" si="21"/>
        <v>72</v>
      </c>
      <c r="Q57" s="101"/>
      <c r="R57" s="80"/>
    </row>
    <row r="58" spans="1:18" ht="15" customHeight="1">
      <c r="A58" s="85">
        <f>MAX($A$4:A57)+1</f>
        <v>54</v>
      </c>
      <c r="B58" s="100" t="s">
        <v>184</v>
      </c>
      <c r="C58" s="99"/>
      <c r="D58" s="105"/>
      <c r="E58" s="105"/>
      <c r="F58" s="105"/>
      <c r="G58" s="105"/>
      <c r="H58" s="105"/>
      <c r="I58" s="105"/>
      <c r="J58" s="105"/>
      <c r="K58" s="105"/>
      <c r="L58" s="105"/>
      <c r="M58" s="105"/>
      <c r="N58" s="105"/>
      <c r="O58" s="105"/>
      <c r="P58" s="104"/>
      <c r="Q58" s="104"/>
      <c r="R58" s="80"/>
    </row>
    <row r="59" spans="1:18" ht="15" customHeight="1">
      <c r="A59" s="85">
        <f>MAX($A$4:A58)+1</f>
        <v>55</v>
      </c>
      <c r="B59" s="103" t="s">
        <v>126</v>
      </c>
      <c r="C59" s="99" t="s">
        <v>124</v>
      </c>
      <c r="D59" s="105">
        <f t="shared" ref="D59:P59" si="22">AVERAGE(D14,D30,D46)</f>
        <v>9061.8690021335951</v>
      </c>
      <c r="E59" s="105">
        <f t="shared" si="22"/>
        <v>10353.442113901197</v>
      </c>
      <c r="F59" s="105">
        <f t="shared" si="22"/>
        <v>11667.667224684066</v>
      </c>
      <c r="G59" s="105">
        <f t="shared" si="22"/>
        <v>11805.265557196784</v>
      </c>
      <c r="H59" s="105">
        <f t="shared" si="22"/>
        <v>11020.057567700642</v>
      </c>
      <c r="I59" s="105">
        <f t="shared" si="22"/>
        <v>10398.790364352535</v>
      </c>
      <c r="J59" s="105">
        <f t="shared" si="22"/>
        <v>9390.6011980961757</v>
      </c>
      <c r="K59" s="105">
        <f t="shared" si="22"/>
        <v>8659.7844460856722</v>
      </c>
      <c r="L59" s="105">
        <f t="shared" si="22"/>
        <v>9656.3676021664196</v>
      </c>
      <c r="M59" s="105">
        <f t="shared" si="22"/>
        <v>10229.005480059084</v>
      </c>
      <c r="N59" s="105">
        <f t="shared" si="22"/>
        <v>9952.542315772198</v>
      </c>
      <c r="O59" s="105">
        <f t="shared" si="22"/>
        <v>9026.4150402100768</v>
      </c>
      <c r="P59" s="101">
        <f t="shared" si="22"/>
        <v>10101.81732602987</v>
      </c>
      <c r="Q59" s="101"/>
      <c r="R59" s="80"/>
    </row>
    <row r="60" spans="1:18" ht="15" customHeight="1">
      <c r="A60" s="85">
        <f>MAX($A$4:A59)+1</f>
        <v>56</v>
      </c>
      <c r="B60" s="103" t="s">
        <v>189</v>
      </c>
      <c r="C60" s="99" t="s">
        <v>124</v>
      </c>
      <c r="D60" s="105">
        <f t="shared" ref="D60:P60" si="23">AVERAGE(D15,D31,D47)</f>
        <v>8954.2919514196619</v>
      </c>
      <c r="E60" s="105">
        <f t="shared" si="23"/>
        <v>10240.99230592483</v>
      </c>
      <c r="F60" s="105">
        <f t="shared" si="23"/>
        <v>11552.623714098147</v>
      </c>
      <c r="G60" s="105">
        <f t="shared" si="23"/>
        <v>11684.420195306089</v>
      </c>
      <c r="H60" s="105">
        <f t="shared" si="23"/>
        <v>10907.351516494338</v>
      </c>
      <c r="I60" s="105">
        <f t="shared" si="23"/>
        <v>10272.844106351551</v>
      </c>
      <c r="J60" s="105">
        <f t="shared" si="23"/>
        <v>9328.5521532906623</v>
      </c>
      <c r="K60" s="105">
        <f t="shared" si="23"/>
        <v>8627.1594140817324</v>
      </c>
      <c r="L60" s="105">
        <f t="shared" si="23"/>
        <v>9582.4699113737061</v>
      </c>
      <c r="M60" s="105">
        <f t="shared" si="23"/>
        <v>10156.697227966519</v>
      </c>
      <c r="N60" s="105">
        <f t="shared" si="23"/>
        <v>9843.4229607746602</v>
      </c>
      <c r="O60" s="105">
        <f t="shared" si="23"/>
        <v>8918.4956458230754</v>
      </c>
      <c r="P60" s="101">
        <f t="shared" si="23"/>
        <v>10005.776758575414</v>
      </c>
      <c r="Q60" s="101"/>
      <c r="R60" s="80"/>
    </row>
    <row r="61" spans="1:18" ht="15" customHeight="1">
      <c r="A61" s="85">
        <f>MAX($A$4:A60)+1</f>
        <v>57</v>
      </c>
      <c r="B61" s="103" t="s">
        <v>399</v>
      </c>
      <c r="C61" s="99"/>
      <c r="D61" s="105"/>
      <c r="E61" s="105"/>
      <c r="F61" s="105"/>
      <c r="G61" s="105"/>
      <c r="H61" s="105"/>
      <c r="I61" s="105"/>
      <c r="J61" s="105"/>
      <c r="K61" s="105"/>
      <c r="L61" s="105"/>
      <c r="M61" s="105"/>
      <c r="N61" s="105"/>
      <c r="O61" s="105"/>
      <c r="P61" s="104">
        <f>MAX(D60:O60)</f>
        <v>11684.420195306089</v>
      </c>
      <c r="Q61" s="104"/>
      <c r="R61" s="80"/>
    </row>
    <row r="62" spans="1:18" ht="15" customHeight="1">
      <c r="A62" s="85">
        <f>MAX($A$4:A61)+1</f>
        <v>58</v>
      </c>
      <c r="B62" s="100" t="s">
        <v>185</v>
      </c>
      <c r="C62" s="99"/>
      <c r="D62" s="105"/>
      <c r="E62" s="105"/>
      <c r="F62" s="105"/>
      <c r="G62" s="105"/>
      <c r="H62" s="105"/>
      <c r="I62" s="105"/>
      <c r="J62" s="105"/>
      <c r="K62" s="105"/>
      <c r="L62" s="105"/>
      <c r="M62" s="105"/>
      <c r="N62" s="105"/>
      <c r="O62" s="105"/>
      <c r="P62" s="104"/>
      <c r="Q62" s="104"/>
      <c r="R62" s="80"/>
    </row>
    <row r="63" spans="1:18" ht="15" customHeight="1">
      <c r="A63" s="85">
        <f>MAX($A$4:A62)+1</f>
        <v>59</v>
      </c>
      <c r="B63" s="103" t="s">
        <v>126</v>
      </c>
      <c r="C63" s="99" t="s">
        <v>197</v>
      </c>
      <c r="D63" s="105">
        <f t="shared" ref="D63:P63" si="24">AVERAGE(D18,D34,D50)</f>
        <v>11116.980940423438</v>
      </c>
      <c r="E63" s="105">
        <f t="shared" si="24"/>
        <v>12189.151767602167</v>
      </c>
      <c r="F63" s="105">
        <f t="shared" si="24"/>
        <v>13565.782243558182</v>
      </c>
      <c r="G63" s="105">
        <f t="shared" si="24"/>
        <v>13589.225391432794</v>
      </c>
      <c r="H63" s="105">
        <f t="shared" si="24"/>
        <v>13084.360215000823</v>
      </c>
      <c r="I63" s="105">
        <f t="shared" si="24"/>
        <v>12295.65042507796</v>
      </c>
      <c r="J63" s="105">
        <f t="shared" si="24"/>
        <v>11634.055658952895</v>
      </c>
      <c r="K63" s="105">
        <f t="shared" si="24"/>
        <v>10496.451774167077</v>
      </c>
      <c r="L63" s="105">
        <f t="shared" si="24"/>
        <v>11011.484354176924</v>
      </c>
      <c r="M63" s="105">
        <f t="shared" si="24"/>
        <v>11401.495737731822</v>
      </c>
      <c r="N63" s="105">
        <f t="shared" si="24"/>
        <v>11450.453696044642</v>
      </c>
      <c r="O63" s="105">
        <f t="shared" si="24"/>
        <v>10317.685749220418</v>
      </c>
      <c r="P63" s="101">
        <f t="shared" si="24"/>
        <v>11846.064829449097</v>
      </c>
      <c r="Q63" s="101"/>
      <c r="R63" s="80"/>
    </row>
    <row r="64" spans="1:18" ht="15" customHeight="1">
      <c r="A64" s="85">
        <f>MAX($A$4:A63)+1</f>
        <v>60</v>
      </c>
      <c r="B64" s="103" t="s">
        <v>189</v>
      </c>
      <c r="C64" s="99" t="s">
        <v>197</v>
      </c>
      <c r="D64" s="105">
        <f t="shared" ref="D64:P64" si="25">AVERAGE(D19,D35,D51)</f>
        <v>11009.403889709503</v>
      </c>
      <c r="E64" s="105">
        <f t="shared" si="25"/>
        <v>12076.701959625798</v>
      </c>
      <c r="F64" s="105">
        <f t="shared" si="25"/>
        <v>13450.738732972264</v>
      </c>
      <c r="G64" s="105">
        <f t="shared" si="25"/>
        <v>13468.380029542095</v>
      </c>
      <c r="H64" s="105">
        <f t="shared" si="25"/>
        <v>12971.654163794519</v>
      </c>
      <c r="I64" s="105">
        <f t="shared" si="25"/>
        <v>12169.704167076974</v>
      </c>
      <c r="J64" s="105">
        <f t="shared" si="25"/>
        <v>11572.006614147382</v>
      </c>
      <c r="K64" s="105">
        <f t="shared" si="25"/>
        <v>10463.826742163137</v>
      </c>
      <c r="L64" s="105">
        <f t="shared" si="25"/>
        <v>10937.586663384211</v>
      </c>
      <c r="M64" s="105">
        <f t="shared" si="25"/>
        <v>11329.187485639259</v>
      </c>
      <c r="N64" s="105">
        <f t="shared" si="25"/>
        <v>11341.334341047104</v>
      </c>
      <c r="O64" s="105">
        <f t="shared" si="25"/>
        <v>10209.766354833417</v>
      </c>
      <c r="P64" s="101">
        <f t="shared" si="25"/>
        <v>11750.024261994638</v>
      </c>
      <c r="Q64" s="101"/>
      <c r="R64" s="80"/>
    </row>
    <row r="65" spans="1:18" ht="15" customHeight="1">
      <c r="A65" s="85">
        <f>MAX($A$4:A64)+1</f>
        <v>61</v>
      </c>
      <c r="B65" s="103" t="s">
        <v>399</v>
      </c>
      <c r="C65" s="99" t="s">
        <v>198</v>
      </c>
      <c r="D65" s="110"/>
      <c r="E65" s="110"/>
      <c r="F65" s="110"/>
      <c r="G65" s="110"/>
      <c r="H65" s="110"/>
      <c r="I65" s="110"/>
      <c r="J65" s="110"/>
      <c r="K65" s="110"/>
      <c r="L65" s="110"/>
      <c r="M65" s="110"/>
      <c r="N65" s="110"/>
      <c r="O65" s="110"/>
      <c r="P65" s="104">
        <f>MAX(D64:O64)</f>
        <v>13468.380029542095</v>
      </c>
      <c r="Q65" s="104"/>
    </row>
    <row r="66" spans="1:18" ht="15" customHeight="1">
      <c r="A66" s="85">
        <f>MAX($A$4:A65)+1</f>
        <v>62</v>
      </c>
      <c r="B66" s="108" t="s">
        <v>472</v>
      </c>
      <c r="C66" s="99"/>
      <c r="D66" s="109">
        <f t="shared" ref="D66:P66" si="26">AVERAGE(D21,D37,D53)</f>
        <v>40317.191121874697</v>
      </c>
      <c r="E66" s="109">
        <f t="shared" si="26"/>
        <v>41621.430900308966</v>
      </c>
      <c r="F66" s="109">
        <f t="shared" si="26"/>
        <v>43003.656011091829</v>
      </c>
      <c r="G66" s="109">
        <f t="shared" si="26"/>
        <v>43259.921010271217</v>
      </c>
      <c r="H66" s="109">
        <f t="shared" si="26"/>
        <v>42541.379687441738</v>
      </c>
      <c r="I66" s="109">
        <f t="shared" si="26"/>
        <v>42123.445817426975</v>
      </c>
      <c r="J66" s="109">
        <f t="shared" si="26"/>
        <v>41441.923317837274</v>
      </c>
      <c r="K66" s="109">
        <f t="shared" si="26"/>
        <v>41142.77323249344</v>
      </c>
      <c r="L66" s="109">
        <f t="shared" si="26"/>
        <v>42223.689721907518</v>
      </c>
      <c r="M66" s="109">
        <f t="shared" si="26"/>
        <v>42755.994266466849</v>
      </c>
      <c r="N66" s="109">
        <f t="shared" si="26"/>
        <v>42646.197768846636</v>
      </c>
      <c r="O66" s="109">
        <f t="shared" si="26"/>
        <v>41718.737159951183</v>
      </c>
      <c r="P66" s="109">
        <f t="shared" si="26"/>
        <v>42066.361667993195</v>
      </c>
      <c r="Q66" s="101"/>
    </row>
    <row r="67" spans="1:18" ht="15" customHeight="1">
      <c r="A67" s="85">
        <f>MAX($A$4:A66)+1</f>
        <v>63</v>
      </c>
      <c r="B67" s="135" t="s">
        <v>40</v>
      </c>
      <c r="C67" s="136"/>
      <c r="D67" s="137"/>
      <c r="E67" s="137"/>
      <c r="F67" s="137"/>
      <c r="G67" s="137"/>
      <c r="H67" s="137"/>
      <c r="I67" s="137"/>
      <c r="J67" s="137"/>
      <c r="K67" s="137"/>
      <c r="L67" s="137"/>
      <c r="M67" s="137"/>
      <c r="N67" s="137"/>
      <c r="O67" s="137"/>
      <c r="P67" s="137"/>
      <c r="Q67" s="137"/>
      <c r="R67" s="80"/>
    </row>
    <row r="68" spans="1:18" ht="15" customHeight="1">
      <c r="A68" s="85">
        <f>MAX($A$4:A67)+1</f>
        <v>64</v>
      </c>
      <c r="B68" s="154" t="s">
        <v>448</v>
      </c>
      <c r="C68" s="99" t="s">
        <v>131</v>
      </c>
      <c r="D68" s="105">
        <v>7047</v>
      </c>
      <c r="E68" s="105">
        <v>7047</v>
      </c>
      <c r="F68" s="105">
        <v>7047</v>
      </c>
      <c r="G68" s="105">
        <v>7047</v>
      </c>
      <c r="H68" s="105">
        <v>7047</v>
      </c>
      <c r="I68" s="105">
        <v>7047</v>
      </c>
      <c r="J68" s="105">
        <v>7047</v>
      </c>
      <c r="K68" s="105">
        <v>7047</v>
      </c>
      <c r="L68" s="105">
        <v>7047</v>
      </c>
      <c r="M68" s="105">
        <v>7197</v>
      </c>
      <c r="N68" s="105">
        <v>7197</v>
      </c>
      <c r="O68" s="105">
        <v>7197</v>
      </c>
      <c r="P68" s="101">
        <f>AVERAGE(D68:O68)</f>
        <v>7084.5</v>
      </c>
      <c r="Q68" s="101"/>
      <c r="R68" s="102"/>
    </row>
    <row r="69" spans="1:18" ht="15" customHeight="1">
      <c r="A69" s="85">
        <f>MAX($A$4:A68)+1</f>
        <v>65</v>
      </c>
      <c r="B69" s="154" t="s">
        <v>449</v>
      </c>
      <c r="C69" s="99" t="s">
        <v>131</v>
      </c>
      <c r="D69" s="105">
        <v>6997</v>
      </c>
      <c r="E69" s="105">
        <v>6997</v>
      </c>
      <c r="F69" s="105">
        <v>6997</v>
      </c>
      <c r="G69" s="105">
        <v>6916</v>
      </c>
      <c r="H69" s="105">
        <v>6916</v>
      </c>
      <c r="I69" s="105">
        <v>6916</v>
      </c>
      <c r="J69" s="105">
        <v>6916</v>
      </c>
      <c r="K69" s="105">
        <v>6916</v>
      </c>
      <c r="L69" s="105">
        <v>6916</v>
      </c>
      <c r="M69" s="105">
        <v>7002</v>
      </c>
      <c r="N69" s="105">
        <v>7002</v>
      </c>
      <c r="O69" s="105">
        <v>7002</v>
      </c>
      <c r="P69" s="101">
        <f>AVERAGE(D69:O69)</f>
        <v>6957.75</v>
      </c>
      <c r="Q69" s="101"/>
      <c r="R69" s="102"/>
    </row>
    <row r="70" spans="1:18" ht="15" customHeight="1">
      <c r="A70" s="85">
        <f>MAX($A$4:A69)+1</f>
        <v>66</v>
      </c>
      <c r="B70" s="154" t="s">
        <v>450</v>
      </c>
      <c r="C70" s="99" t="s">
        <v>131</v>
      </c>
      <c r="D70" s="105">
        <v>6652</v>
      </c>
      <c r="E70" s="105">
        <v>6652</v>
      </c>
      <c r="F70" s="105">
        <v>6652</v>
      </c>
      <c r="G70" s="105">
        <v>6552</v>
      </c>
      <c r="H70" s="105">
        <v>6552</v>
      </c>
      <c r="I70" s="105">
        <v>6552</v>
      </c>
      <c r="J70" s="105">
        <v>6552</v>
      </c>
      <c r="K70" s="105">
        <v>7402</v>
      </c>
      <c r="L70" s="105">
        <v>7402</v>
      </c>
      <c r="M70" s="105">
        <v>7402</v>
      </c>
      <c r="N70" s="105">
        <v>7402</v>
      </c>
      <c r="O70" s="105">
        <v>7402</v>
      </c>
      <c r="P70" s="101">
        <f>AVERAGE(D70:O70)</f>
        <v>6931.166666666667</v>
      </c>
      <c r="Q70" s="101"/>
      <c r="R70" s="102"/>
    </row>
    <row r="71" spans="1:18" ht="15" customHeight="1">
      <c r="A71" s="85">
        <f>MAX($A$4:A70)+1</f>
        <v>67</v>
      </c>
      <c r="B71" s="507" t="s">
        <v>473</v>
      </c>
      <c r="C71" s="99" t="s">
        <v>131</v>
      </c>
      <c r="D71" s="109">
        <f>AVERAGE(D68:D70)</f>
        <v>6898.666666666667</v>
      </c>
      <c r="E71" s="109">
        <f>AVERAGE(E68:E70)</f>
        <v>6898.666666666667</v>
      </c>
      <c r="F71" s="109">
        <f>AVERAGE(F68:F70)</f>
        <v>6898.666666666667</v>
      </c>
      <c r="G71" s="109">
        <f t="shared" ref="G71:L71" si="27">AVERAGE(G68:G70)</f>
        <v>6838.333333333333</v>
      </c>
      <c r="H71" s="109">
        <f>AVERAGE(H68:H70)</f>
        <v>6838.333333333333</v>
      </c>
      <c r="I71" s="109">
        <f t="shared" si="27"/>
        <v>6838.333333333333</v>
      </c>
      <c r="J71" s="109">
        <f t="shared" si="27"/>
        <v>6838.333333333333</v>
      </c>
      <c r="K71" s="109">
        <f t="shared" si="27"/>
        <v>7121.666666666667</v>
      </c>
      <c r="L71" s="109">
        <f t="shared" si="27"/>
        <v>7121.666666666667</v>
      </c>
      <c r="M71" s="109">
        <f>AVERAGE(M68:M70)</f>
        <v>7200.333333333333</v>
      </c>
      <c r="N71" s="109">
        <f>AVERAGE(N68:N70)</f>
        <v>7200.333333333333</v>
      </c>
      <c r="O71" s="109">
        <f>AVERAGE(O68:O70)</f>
        <v>7200.333333333333</v>
      </c>
      <c r="P71" s="109">
        <f>AVERAGE(P68:P70)</f>
        <v>6991.1388888888896</v>
      </c>
      <c r="Q71" s="101"/>
      <c r="R71" s="80"/>
    </row>
    <row r="72" spans="1:18" ht="15" customHeight="1">
      <c r="A72" s="85">
        <f>MAX($A$4:A71)+1</f>
        <v>68</v>
      </c>
      <c r="B72" s="135" t="s">
        <v>43</v>
      </c>
      <c r="C72" s="136"/>
      <c r="D72" s="138"/>
      <c r="E72" s="138"/>
      <c r="F72" s="138"/>
      <c r="G72" s="138"/>
      <c r="H72" s="138"/>
      <c r="I72" s="138"/>
      <c r="J72" s="134"/>
      <c r="K72" s="134"/>
      <c r="L72" s="134"/>
      <c r="M72" s="134"/>
      <c r="N72" s="134"/>
      <c r="O72" s="134"/>
      <c r="P72" s="135"/>
      <c r="Q72" s="135"/>
      <c r="R72" s="80"/>
    </row>
    <row r="73" spans="1:18" ht="15" customHeight="1">
      <c r="A73" s="85">
        <f>MAX($A$4:A72)+1</f>
        <v>69</v>
      </c>
      <c r="B73" s="154" t="s">
        <v>448</v>
      </c>
      <c r="C73" s="155" t="s">
        <v>131</v>
      </c>
      <c r="D73" s="105">
        <v>121</v>
      </c>
      <c r="E73" s="105">
        <v>121</v>
      </c>
      <c r="F73" s="105">
        <v>121</v>
      </c>
      <c r="G73" s="105">
        <v>121</v>
      </c>
      <c r="H73" s="105">
        <v>121</v>
      </c>
      <c r="I73" s="105">
        <v>121</v>
      </c>
      <c r="J73" s="105">
        <v>121</v>
      </c>
      <c r="K73" s="105">
        <v>121</v>
      </c>
      <c r="L73" s="105">
        <v>121</v>
      </c>
      <c r="M73" s="105">
        <v>121</v>
      </c>
      <c r="N73" s="105">
        <v>121</v>
      </c>
      <c r="O73" s="105">
        <v>121</v>
      </c>
      <c r="P73" s="101">
        <f>AVERAGE(D73:O73)</f>
        <v>121</v>
      </c>
      <c r="Q73" s="101"/>
      <c r="R73" s="102"/>
    </row>
    <row r="74" spans="1:18" ht="15" customHeight="1">
      <c r="A74" s="85">
        <f>MAX($A$4:A73)+1</f>
        <v>70</v>
      </c>
      <c r="B74" s="154" t="s">
        <v>449</v>
      </c>
      <c r="C74" s="155" t="s">
        <v>131</v>
      </c>
      <c r="D74" s="105">
        <v>121</v>
      </c>
      <c r="E74" s="105">
        <v>121</v>
      </c>
      <c r="F74" s="105">
        <v>200</v>
      </c>
      <c r="G74" s="105">
        <v>200</v>
      </c>
      <c r="H74" s="105">
        <v>200</v>
      </c>
      <c r="I74" s="105">
        <v>200</v>
      </c>
      <c r="J74" s="105">
        <v>200</v>
      </c>
      <c r="K74" s="105">
        <v>200</v>
      </c>
      <c r="L74" s="105">
        <v>200</v>
      </c>
      <c r="M74" s="105">
        <v>200</v>
      </c>
      <c r="N74" s="105">
        <v>200</v>
      </c>
      <c r="O74" s="105">
        <v>200</v>
      </c>
      <c r="P74" s="101">
        <f>AVERAGE(D74:O74)</f>
        <v>186.83333333333334</v>
      </c>
      <c r="Q74" s="101"/>
      <c r="R74" s="102"/>
    </row>
    <row r="75" spans="1:18" ht="15" customHeight="1">
      <c r="A75" s="85">
        <f>MAX($A$4:A74)+1</f>
        <v>71</v>
      </c>
      <c r="B75" s="154" t="s">
        <v>450</v>
      </c>
      <c r="C75" s="155" t="s">
        <v>131</v>
      </c>
      <c r="D75" s="105">
        <v>1930</v>
      </c>
      <c r="E75" s="105">
        <v>1930</v>
      </c>
      <c r="F75" s="105">
        <v>1930</v>
      </c>
      <c r="G75" s="105">
        <v>1930</v>
      </c>
      <c r="H75" s="105">
        <v>1930</v>
      </c>
      <c r="I75" s="105">
        <v>1930</v>
      </c>
      <c r="J75" s="105">
        <v>1930</v>
      </c>
      <c r="K75" s="105">
        <v>1930</v>
      </c>
      <c r="L75" s="105">
        <v>1930</v>
      </c>
      <c r="M75" s="105">
        <v>1930</v>
      </c>
      <c r="N75" s="105">
        <v>1930</v>
      </c>
      <c r="O75" s="105">
        <v>1930</v>
      </c>
      <c r="P75" s="101">
        <f>AVERAGE(D75:O75)</f>
        <v>1930</v>
      </c>
      <c r="Q75" s="101"/>
      <c r="R75" s="102"/>
    </row>
    <row r="76" spans="1:18" ht="15" customHeight="1">
      <c r="A76" s="85">
        <f>MAX($A$4:A75)+1</f>
        <v>72</v>
      </c>
      <c r="B76" s="507" t="s">
        <v>474</v>
      </c>
      <c r="C76" s="155" t="s">
        <v>131</v>
      </c>
      <c r="D76" s="109">
        <f>AVERAGE(D73:D75)</f>
        <v>724</v>
      </c>
      <c r="E76" s="109">
        <f t="shared" ref="E76:M76" si="28">AVERAGE(E73:E75)</f>
        <v>724</v>
      </c>
      <c r="F76" s="109">
        <f t="shared" si="28"/>
        <v>750.33333333333337</v>
      </c>
      <c r="G76" s="109">
        <f t="shared" si="28"/>
        <v>750.33333333333337</v>
      </c>
      <c r="H76" s="109">
        <f>AVERAGE(H73:H75)</f>
        <v>750.33333333333337</v>
      </c>
      <c r="I76" s="109">
        <f t="shared" si="28"/>
        <v>750.33333333333337</v>
      </c>
      <c r="J76" s="109">
        <f t="shared" si="28"/>
        <v>750.33333333333337</v>
      </c>
      <c r="K76" s="109">
        <f t="shared" si="28"/>
        <v>750.33333333333337</v>
      </c>
      <c r="L76" s="109">
        <f t="shared" si="28"/>
        <v>750.33333333333337</v>
      </c>
      <c r="M76" s="109">
        <f t="shared" si="28"/>
        <v>750.33333333333337</v>
      </c>
      <c r="N76" s="109">
        <f>AVERAGE(N73:N75)</f>
        <v>750.33333333333337</v>
      </c>
      <c r="O76" s="109">
        <f>AVERAGE(O73:O75)</f>
        <v>750.33333333333337</v>
      </c>
      <c r="P76" s="109">
        <f>AVERAGE(P73:P75)</f>
        <v>745.94444444444446</v>
      </c>
      <c r="Q76" s="101"/>
      <c r="R76" s="80"/>
    </row>
    <row r="77" spans="1:18" ht="15" customHeight="1">
      <c r="A77" s="85"/>
      <c r="B77" s="154"/>
      <c r="C77" s="155"/>
      <c r="D77" s="101"/>
      <c r="E77" s="101"/>
      <c r="F77" s="101"/>
      <c r="G77" s="101"/>
      <c r="H77" s="101"/>
      <c r="I77" s="101"/>
      <c r="J77" s="101"/>
      <c r="K77" s="101"/>
      <c r="L77" s="101"/>
      <c r="M77" s="101"/>
      <c r="N77" s="101"/>
      <c r="O77" s="101"/>
      <c r="P77" s="101"/>
      <c r="Q77" s="101"/>
      <c r="R77" s="80"/>
    </row>
    <row r="78" spans="1:18" ht="15" customHeight="1">
      <c r="A78" s="112"/>
      <c r="B78" s="549" t="s">
        <v>199</v>
      </c>
      <c r="C78" s="550"/>
      <c r="D78" s="550"/>
      <c r="E78" s="550"/>
      <c r="F78" s="550"/>
      <c r="G78" s="550"/>
      <c r="H78" s="550"/>
      <c r="I78" s="550"/>
      <c r="J78" s="550"/>
      <c r="K78" s="550"/>
      <c r="L78" s="550"/>
      <c r="M78" s="550"/>
      <c r="N78" s="550"/>
      <c r="O78" s="550"/>
      <c r="P78" s="550"/>
      <c r="Q78" s="515"/>
      <c r="R78" s="80"/>
    </row>
    <row r="79" spans="1:18" ht="15" customHeight="1">
      <c r="D79" s="95"/>
      <c r="E79" s="95"/>
      <c r="F79" s="95"/>
      <c r="G79" s="115"/>
      <c r="H79" s="116"/>
      <c r="I79" s="117"/>
    </row>
    <row r="80" spans="1:18" ht="15" customHeight="1">
      <c r="D80" s="95"/>
      <c r="E80" s="119"/>
      <c r="F80" s="95"/>
      <c r="G80" s="115"/>
      <c r="H80" s="115"/>
    </row>
    <row r="81" spans="1:17" ht="15" customHeight="1">
      <c r="B81" s="118"/>
      <c r="D81" s="120"/>
      <c r="E81" s="120"/>
      <c r="F81" s="120"/>
      <c r="G81" s="120"/>
      <c r="H81" s="120"/>
      <c r="I81" s="121"/>
    </row>
    <row r="82" spans="1:17" ht="15" customHeight="1">
      <c r="D82" s="115"/>
      <c r="E82" s="115"/>
      <c r="F82" s="115"/>
      <c r="G82" s="115"/>
      <c r="H82" s="115"/>
      <c r="I82" s="115"/>
      <c r="J82" s="115"/>
      <c r="K82" s="115"/>
      <c r="L82" s="115"/>
      <c r="M82" s="115"/>
      <c r="N82" s="115"/>
      <c r="O82" s="115"/>
      <c r="P82" s="116"/>
      <c r="Q82" s="116"/>
    </row>
    <row r="83" spans="1:17" ht="15" customHeight="1">
      <c r="D83" s="115"/>
      <c r="E83" s="115"/>
      <c r="F83" s="115"/>
      <c r="G83" s="115"/>
      <c r="H83" s="115"/>
      <c r="I83" s="115"/>
      <c r="J83" s="115"/>
      <c r="K83" s="115"/>
      <c r="L83" s="115"/>
      <c r="M83" s="115"/>
      <c r="N83" s="115"/>
      <c r="O83" s="115"/>
      <c r="P83" s="116"/>
      <c r="Q83" s="116"/>
    </row>
    <row r="84" spans="1:17" ht="15" customHeight="1">
      <c r="B84" s="122"/>
      <c r="D84" s="115"/>
      <c r="E84" s="115"/>
      <c r="F84" s="115"/>
      <c r="G84" s="115"/>
      <c r="H84" s="115"/>
      <c r="I84" s="115"/>
      <c r="J84" s="115"/>
      <c r="K84" s="115"/>
      <c r="L84" s="115"/>
      <c r="M84" s="115"/>
      <c r="N84" s="115"/>
      <c r="O84" s="115"/>
      <c r="P84" s="116"/>
      <c r="Q84" s="116"/>
    </row>
    <row r="85" spans="1:17" ht="15" customHeight="1">
      <c r="A85" s="95"/>
      <c r="B85" s="122"/>
      <c r="D85" s="115"/>
      <c r="E85" s="115"/>
      <c r="F85" s="115"/>
      <c r="G85" s="115"/>
      <c r="H85" s="115"/>
      <c r="I85" s="115"/>
      <c r="J85" s="115"/>
      <c r="K85" s="115"/>
      <c r="L85" s="115"/>
      <c r="M85" s="115"/>
      <c r="N85" s="115"/>
      <c r="O85" s="115"/>
      <c r="P85" s="116"/>
      <c r="Q85" s="116"/>
    </row>
    <row r="86" spans="1:17" ht="15" customHeight="1">
      <c r="A86" s="95"/>
      <c r="B86" s="122"/>
      <c r="D86" s="115"/>
      <c r="E86" s="115"/>
      <c r="F86" s="115"/>
      <c r="G86" s="115"/>
      <c r="H86" s="115"/>
      <c r="I86" s="115"/>
      <c r="J86" s="115"/>
      <c r="K86" s="115"/>
      <c r="L86" s="115"/>
      <c r="M86" s="115"/>
      <c r="N86" s="115"/>
      <c r="O86" s="115"/>
      <c r="P86" s="116"/>
      <c r="Q86" s="116"/>
    </row>
    <row r="87" spans="1:17" ht="15" customHeight="1">
      <c r="A87" s="95"/>
      <c r="B87" s="122"/>
      <c r="D87" s="115"/>
      <c r="E87" s="115"/>
      <c r="F87" s="115"/>
      <c r="G87" s="115"/>
      <c r="H87" s="115"/>
      <c r="I87" s="115"/>
      <c r="J87" s="115"/>
      <c r="K87" s="115"/>
      <c r="L87" s="115"/>
      <c r="M87" s="115"/>
      <c r="N87" s="115"/>
      <c r="O87" s="115"/>
      <c r="P87" s="116"/>
      <c r="Q87" s="116"/>
    </row>
    <row r="88" spans="1:17" ht="15" customHeight="1">
      <c r="A88" s="95"/>
      <c r="B88" s="122"/>
      <c r="D88" s="115"/>
      <c r="E88" s="115"/>
      <c r="F88" s="115"/>
      <c r="G88" s="115"/>
      <c r="H88" s="115"/>
      <c r="I88" s="115"/>
      <c r="J88" s="115"/>
      <c r="K88" s="115"/>
      <c r="L88" s="115"/>
      <c r="M88" s="115"/>
      <c r="N88" s="115"/>
      <c r="O88" s="115"/>
      <c r="P88" s="116"/>
      <c r="Q88" s="116"/>
    </row>
    <row r="89" spans="1:17" ht="15" customHeight="1">
      <c r="A89" s="95"/>
      <c r="B89" s="122"/>
      <c r="D89" s="115"/>
      <c r="E89" s="115"/>
      <c r="F89" s="115"/>
      <c r="G89" s="115"/>
      <c r="H89" s="115"/>
      <c r="I89" s="115"/>
      <c r="J89" s="115"/>
      <c r="K89" s="115"/>
      <c r="L89" s="115"/>
      <c r="M89" s="115"/>
      <c r="N89" s="115"/>
      <c r="O89" s="115"/>
      <c r="P89" s="116"/>
      <c r="Q89" s="116"/>
    </row>
    <row r="90" spans="1:17" ht="15" customHeight="1">
      <c r="A90" s="95"/>
      <c r="B90" s="122"/>
      <c r="D90" s="115"/>
      <c r="E90" s="115"/>
      <c r="F90" s="115"/>
      <c r="G90" s="115"/>
      <c r="H90" s="115"/>
      <c r="I90" s="115"/>
      <c r="J90" s="115"/>
      <c r="K90" s="115"/>
      <c r="L90" s="115"/>
      <c r="M90" s="115"/>
      <c r="N90" s="115"/>
      <c r="O90" s="115"/>
      <c r="P90" s="116"/>
      <c r="Q90" s="116"/>
    </row>
    <row r="91" spans="1:17" ht="15" customHeight="1">
      <c r="A91" s="95"/>
      <c r="B91" s="122"/>
      <c r="D91" s="115"/>
      <c r="E91" s="115"/>
      <c r="F91" s="115"/>
      <c r="G91" s="115"/>
      <c r="H91" s="115"/>
      <c r="I91" s="115"/>
      <c r="J91" s="115"/>
      <c r="K91" s="115"/>
      <c r="L91" s="115"/>
      <c r="M91" s="115"/>
      <c r="N91" s="115"/>
      <c r="O91" s="115"/>
      <c r="P91" s="116"/>
      <c r="Q91" s="116"/>
    </row>
    <row r="92" spans="1:17" ht="15" customHeight="1">
      <c r="D92" s="115"/>
      <c r="E92" s="115"/>
      <c r="F92" s="115"/>
      <c r="G92" s="115"/>
      <c r="H92" s="115"/>
      <c r="I92" s="115"/>
      <c r="J92" s="115"/>
      <c r="K92" s="115"/>
      <c r="L92" s="115"/>
      <c r="M92" s="115"/>
      <c r="N92" s="115"/>
      <c r="O92" s="115"/>
      <c r="P92" s="116"/>
      <c r="Q92" s="116"/>
    </row>
    <row r="93" spans="1:17" ht="15" customHeight="1">
      <c r="D93" s="115"/>
      <c r="E93" s="115"/>
      <c r="F93" s="115"/>
      <c r="G93" s="115"/>
      <c r="H93" s="115"/>
      <c r="I93" s="115"/>
      <c r="J93" s="115"/>
      <c r="K93" s="115"/>
      <c r="L93" s="115"/>
      <c r="M93" s="115"/>
      <c r="N93" s="115"/>
      <c r="O93" s="115"/>
      <c r="P93" s="116"/>
      <c r="Q93" s="116"/>
    </row>
    <row r="94" spans="1:17" ht="15" customHeight="1">
      <c r="B94" s="122"/>
      <c r="D94" s="115"/>
      <c r="E94" s="115"/>
      <c r="F94" s="115"/>
      <c r="G94" s="115"/>
      <c r="H94" s="115"/>
      <c r="I94" s="115"/>
      <c r="J94" s="115"/>
      <c r="K94" s="115"/>
      <c r="L94" s="115"/>
      <c r="M94" s="115"/>
      <c r="N94" s="115"/>
      <c r="O94" s="115"/>
      <c r="P94" s="116"/>
      <c r="Q94" s="116"/>
    </row>
    <row r="95" spans="1:17" ht="15" customHeight="1">
      <c r="D95" s="115"/>
      <c r="E95" s="115"/>
      <c r="F95" s="115"/>
      <c r="G95" s="115"/>
      <c r="H95" s="115"/>
      <c r="I95" s="115"/>
      <c r="J95" s="115"/>
      <c r="K95" s="115"/>
      <c r="L95" s="115"/>
      <c r="M95" s="115"/>
      <c r="N95" s="115"/>
      <c r="O95" s="115"/>
      <c r="P95" s="116"/>
      <c r="Q95" s="116"/>
    </row>
    <row r="96" spans="1:17" ht="15" customHeight="1">
      <c r="D96" s="115"/>
      <c r="E96" s="115"/>
      <c r="F96" s="115"/>
      <c r="G96" s="115"/>
      <c r="H96" s="115"/>
      <c r="I96" s="115"/>
      <c r="J96" s="115"/>
      <c r="K96" s="115"/>
      <c r="L96" s="115"/>
      <c r="M96" s="115"/>
      <c r="N96" s="115"/>
      <c r="O96" s="115"/>
      <c r="P96" s="116"/>
      <c r="Q96" s="116"/>
    </row>
    <row r="97" spans="2:17" ht="15" customHeight="1">
      <c r="B97" s="122"/>
      <c r="D97" s="115"/>
      <c r="E97" s="115"/>
      <c r="F97" s="115"/>
      <c r="G97" s="115"/>
      <c r="H97" s="115"/>
      <c r="I97" s="115"/>
      <c r="J97" s="115"/>
      <c r="K97" s="115"/>
      <c r="L97" s="115"/>
      <c r="M97" s="115"/>
      <c r="N97" s="115"/>
      <c r="O97" s="115"/>
      <c r="P97" s="116"/>
      <c r="Q97" s="116"/>
    </row>
    <row r="98" spans="2:17" ht="15" customHeight="1">
      <c r="B98" s="123"/>
      <c r="D98" s="116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</row>
    <row r="100" spans="2:17" ht="15" customHeight="1">
      <c r="B100" s="122"/>
      <c r="D100" s="115"/>
      <c r="E100" s="115"/>
      <c r="F100" s="115"/>
      <c r="G100" s="115"/>
      <c r="H100" s="115"/>
      <c r="I100" s="115"/>
      <c r="J100" s="115"/>
      <c r="K100" s="115"/>
      <c r="L100" s="115"/>
      <c r="M100" s="115"/>
      <c r="N100" s="115"/>
      <c r="O100" s="115"/>
      <c r="P100" s="116"/>
      <c r="Q100" s="116"/>
    </row>
    <row r="101" spans="2:17" ht="15" customHeight="1">
      <c r="B101" s="122"/>
      <c r="D101" s="115"/>
      <c r="E101" s="115"/>
      <c r="F101" s="115"/>
      <c r="G101" s="115"/>
      <c r="H101" s="115"/>
      <c r="I101" s="115"/>
      <c r="J101" s="115"/>
      <c r="K101" s="115"/>
      <c r="L101" s="115"/>
      <c r="M101" s="115"/>
      <c r="N101" s="115"/>
      <c r="O101" s="115"/>
      <c r="P101" s="116"/>
      <c r="Q101" s="116"/>
    </row>
    <row r="102" spans="2:17" ht="15" customHeight="1">
      <c r="B102" s="124"/>
      <c r="D102" s="116"/>
      <c r="E102" s="116"/>
      <c r="F102" s="116"/>
      <c r="G102" s="116"/>
      <c r="H102" s="116"/>
      <c r="I102" s="116"/>
      <c r="J102" s="116"/>
      <c r="K102" s="116"/>
      <c r="L102" s="116"/>
      <c r="M102" s="116"/>
      <c r="N102" s="116"/>
      <c r="O102" s="116"/>
      <c r="P102" s="116"/>
      <c r="Q102" s="116"/>
    </row>
    <row r="104" spans="2:17" ht="15" customHeight="1">
      <c r="D104" s="115"/>
      <c r="E104" s="115"/>
      <c r="F104" s="115"/>
      <c r="G104" s="115"/>
      <c r="H104" s="115"/>
      <c r="I104" s="115"/>
      <c r="J104" s="115"/>
      <c r="K104" s="115"/>
      <c r="L104" s="115"/>
      <c r="M104" s="115"/>
      <c r="N104" s="115"/>
      <c r="O104" s="115"/>
      <c r="P104" s="116"/>
      <c r="Q104" s="116"/>
    </row>
    <row r="106" spans="2:17" ht="15" customHeight="1">
      <c r="O106" s="125"/>
      <c r="P106" s="116"/>
      <c r="Q106" s="116"/>
    </row>
    <row r="107" spans="2:17" ht="15" customHeight="1">
      <c r="O107" s="125"/>
      <c r="P107" s="116"/>
      <c r="Q107" s="116"/>
    </row>
    <row r="108" spans="2:17" ht="15" customHeight="1">
      <c r="O108" s="125"/>
      <c r="P108" s="116"/>
      <c r="Q108" s="116"/>
    </row>
    <row r="109" spans="2:17" ht="15" customHeight="1">
      <c r="B109" s="118"/>
      <c r="O109" s="125"/>
      <c r="P109" s="116"/>
      <c r="Q109" s="116"/>
    </row>
    <row r="110" spans="2:17" ht="15" customHeight="1">
      <c r="C110" s="126"/>
      <c r="E110" s="126"/>
      <c r="G110" s="126"/>
      <c r="O110" s="125"/>
      <c r="P110" s="116"/>
      <c r="Q110" s="116"/>
    </row>
    <row r="111" spans="2:17" ht="15" customHeight="1">
      <c r="B111" s="114"/>
      <c r="C111" s="92"/>
      <c r="D111" s="92"/>
      <c r="E111" s="92"/>
      <c r="G111" s="92"/>
      <c r="O111" s="125"/>
      <c r="P111" s="116"/>
      <c r="Q111" s="116"/>
    </row>
    <row r="112" spans="2:17" ht="15" customHeight="1">
      <c r="B112" s="114"/>
      <c r="C112" s="92"/>
      <c r="D112" s="92"/>
      <c r="E112" s="92"/>
      <c r="G112" s="92"/>
    </row>
    <row r="113" spans="2:10" ht="15" customHeight="1">
      <c r="B113" s="126"/>
      <c r="C113" s="127"/>
      <c r="D113" s="127"/>
      <c r="E113" s="127"/>
      <c r="F113" s="128"/>
      <c r="G113" s="127"/>
      <c r="J113" s="129"/>
    </row>
    <row r="114" spans="2:10" ht="15" customHeight="1">
      <c r="B114" s="114"/>
      <c r="C114" s="92"/>
      <c r="D114" s="92"/>
      <c r="E114" s="92"/>
      <c r="G114" s="92"/>
    </row>
    <row r="115" spans="2:10" ht="15" customHeight="1">
      <c r="B115" s="114"/>
      <c r="C115" s="93"/>
      <c r="D115" s="93"/>
      <c r="E115" s="93"/>
      <c r="G115" s="93"/>
    </row>
    <row r="116" spans="2:10" ht="15" customHeight="1">
      <c r="B116" s="114"/>
      <c r="C116" s="93"/>
      <c r="D116" s="93"/>
      <c r="E116" s="93"/>
      <c r="G116" s="93"/>
    </row>
    <row r="117" spans="2:10" ht="15" customHeight="1">
      <c r="B117" s="114"/>
      <c r="C117" s="93"/>
      <c r="D117" s="93"/>
      <c r="E117" s="93"/>
      <c r="G117" s="93"/>
    </row>
    <row r="118" spans="2:10" ht="15" customHeight="1">
      <c r="B118" s="114"/>
      <c r="C118" s="93"/>
      <c r="D118" s="93"/>
      <c r="E118" s="93"/>
      <c r="G118" s="93"/>
    </row>
    <row r="119" spans="2:10" ht="15" customHeight="1">
      <c r="B119" s="114"/>
      <c r="C119" s="93"/>
      <c r="D119" s="93"/>
      <c r="E119" s="93"/>
      <c r="G119" s="93"/>
    </row>
    <row r="120" spans="2:10" ht="15" customHeight="1">
      <c r="B120" s="114"/>
      <c r="C120" s="93"/>
      <c r="D120" s="93"/>
      <c r="E120" s="93"/>
      <c r="G120" s="93"/>
    </row>
  </sheetData>
  <mergeCells count="3">
    <mergeCell ref="A1:P1"/>
    <mergeCell ref="A2:P2"/>
    <mergeCell ref="B78:P78"/>
  </mergeCells>
  <phoneticPr fontId="49" type="noConversion"/>
  <printOptions horizontalCentered="1"/>
  <pageMargins left="0.25" right="0.25" top="0.75" bottom="0.75" header="0.3" footer="0.3"/>
  <pageSetup scale="73" fitToHeight="0" orientation="landscape" blackAndWhite="1" horizontalDpi="300" verticalDpi="300" r:id="rId1"/>
  <headerFooter alignWithMargins="0"/>
  <rowBreaks count="2" manualBreakCount="2">
    <brk id="21" max="15" man="1"/>
    <brk id="53" max="1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11">
    <tabColor theme="3" tint="0.79998168889431442"/>
    <pageSetUpPr fitToPage="1"/>
  </sheetPr>
  <dimension ref="A1:P87"/>
  <sheetViews>
    <sheetView zoomScaleNormal="100" workbookViewId="0">
      <pane ySplit="4" topLeftCell="A5" activePane="bottomLeft" state="frozenSplit"/>
      <selection activeCell="B52" sqref="B52"/>
      <selection pane="bottomLeft" sqref="A1:P1"/>
    </sheetView>
  </sheetViews>
  <sheetFormatPr defaultColWidth="8" defaultRowHeight="14.25"/>
  <cols>
    <col min="1" max="1" width="4.28515625" style="119" customWidth="1"/>
    <col min="2" max="2" width="49.28515625" style="113" customWidth="1"/>
    <col min="3" max="3" width="9.85546875" style="114" customWidth="1"/>
    <col min="4" max="8" width="10.7109375" style="114" customWidth="1"/>
    <col min="9" max="15" width="10.7109375" style="148" customWidth="1"/>
    <col min="16" max="16" width="13.42578125" style="95" bestFit="1" customWidth="1"/>
    <col min="17" max="16384" width="8" style="95"/>
  </cols>
  <sheetData>
    <row r="1" spans="1:16" s="80" customFormat="1" ht="19.5" customHeight="1">
      <c r="A1" s="537" t="s">
        <v>146</v>
      </c>
      <c r="B1" s="537"/>
      <c r="C1" s="537"/>
      <c r="D1" s="537"/>
      <c r="E1" s="537"/>
      <c r="F1" s="537"/>
      <c r="G1" s="537"/>
      <c r="H1" s="537"/>
      <c r="I1" s="537"/>
      <c r="J1" s="537"/>
      <c r="K1" s="537"/>
      <c r="L1" s="537"/>
      <c r="M1" s="537"/>
      <c r="N1" s="537"/>
      <c r="O1" s="537"/>
      <c r="P1" s="537"/>
    </row>
    <row r="2" spans="1:16" s="80" customFormat="1" ht="19.5" customHeight="1">
      <c r="A2" s="537" t="s">
        <v>143</v>
      </c>
      <c r="B2" s="537"/>
      <c r="C2" s="537"/>
      <c r="D2" s="537"/>
      <c r="E2" s="537"/>
      <c r="F2" s="537"/>
      <c r="G2" s="537"/>
      <c r="H2" s="537"/>
      <c r="I2" s="537"/>
      <c r="J2" s="537"/>
      <c r="K2" s="537"/>
      <c r="L2" s="537"/>
      <c r="M2" s="537"/>
      <c r="N2" s="537"/>
      <c r="O2" s="537"/>
      <c r="P2" s="537"/>
    </row>
    <row r="3" spans="1:16" ht="15" customHeight="1">
      <c r="A3" s="186"/>
      <c r="B3" s="169" t="s">
        <v>0</v>
      </c>
      <c r="C3" s="169" t="s">
        <v>1</v>
      </c>
      <c r="D3" s="169" t="s">
        <v>2</v>
      </c>
      <c r="E3" s="169" t="s">
        <v>3</v>
      </c>
      <c r="F3" s="169" t="s">
        <v>4</v>
      </c>
      <c r="G3" s="169" t="s">
        <v>5</v>
      </c>
      <c r="H3" s="169" t="s">
        <v>6</v>
      </c>
      <c r="I3" s="169" t="s">
        <v>7</v>
      </c>
      <c r="J3" s="170" t="s">
        <v>32</v>
      </c>
      <c r="K3" s="170" t="s">
        <v>33</v>
      </c>
      <c r="L3" s="170" t="s">
        <v>34</v>
      </c>
      <c r="M3" s="170" t="s">
        <v>42</v>
      </c>
      <c r="N3" s="170" t="s">
        <v>59</v>
      </c>
      <c r="O3" s="170" t="s">
        <v>162</v>
      </c>
      <c r="P3" s="170" t="s">
        <v>163</v>
      </c>
    </row>
    <row r="4" spans="1:16" ht="15" customHeight="1">
      <c r="A4" s="186"/>
      <c r="B4" s="187" t="s">
        <v>74</v>
      </c>
      <c r="C4" s="188" t="s">
        <v>44</v>
      </c>
      <c r="D4" s="188" t="s">
        <v>62</v>
      </c>
      <c r="E4" s="188" t="s">
        <v>63</v>
      </c>
      <c r="F4" s="188" t="s">
        <v>64</v>
      </c>
      <c r="G4" s="188" t="s">
        <v>65</v>
      </c>
      <c r="H4" s="188" t="s">
        <v>66</v>
      </c>
      <c r="I4" s="188" t="s">
        <v>67</v>
      </c>
      <c r="J4" s="188" t="s">
        <v>68</v>
      </c>
      <c r="K4" s="188" t="s">
        <v>69</v>
      </c>
      <c r="L4" s="188" t="s">
        <v>70</v>
      </c>
      <c r="M4" s="188" t="s">
        <v>71</v>
      </c>
      <c r="N4" s="188" t="s">
        <v>72</v>
      </c>
      <c r="O4" s="188" t="s">
        <v>73</v>
      </c>
      <c r="P4" s="188" t="s">
        <v>36</v>
      </c>
    </row>
    <row r="5" spans="1:16" ht="15" customHeight="1">
      <c r="A5" s="85">
        <f>MAX($A$4:A4)+1</f>
        <v>1</v>
      </c>
      <c r="B5" s="171" t="s">
        <v>475</v>
      </c>
      <c r="C5" s="189"/>
      <c r="D5" s="189">
        <v>31</v>
      </c>
      <c r="E5" s="189">
        <v>30</v>
      </c>
      <c r="F5" s="189">
        <v>31</v>
      </c>
      <c r="G5" s="189">
        <v>31</v>
      </c>
      <c r="H5" s="196">
        <v>28</v>
      </c>
      <c r="I5" s="190">
        <v>31</v>
      </c>
      <c r="J5" s="190">
        <v>30</v>
      </c>
      <c r="K5" s="190">
        <v>31</v>
      </c>
      <c r="L5" s="190">
        <v>30</v>
      </c>
      <c r="M5" s="190">
        <v>31</v>
      </c>
      <c r="N5" s="190">
        <v>31</v>
      </c>
      <c r="O5" s="190">
        <v>30</v>
      </c>
      <c r="P5" s="185">
        <f>SUM(D5:O5)</f>
        <v>365</v>
      </c>
    </row>
    <row r="6" spans="1:16" ht="15" customHeight="1">
      <c r="A6" s="85">
        <f>MAX($A$4:A5)+1</f>
        <v>2</v>
      </c>
      <c r="B6" s="171" t="s">
        <v>476</v>
      </c>
      <c r="C6" s="189"/>
      <c r="D6" s="189">
        <v>31</v>
      </c>
      <c r="E6" s="189">
        <v>30</v>
      </c>
      <c r="F6" s="189">
        <v>31</v>
      </c>
      <c r="G6" s="189">
        <v>31</v>
      </c>
      <c r="H6" s="196">
        <v>28</v>
      </c>
      <c r="I6" s="190">
        <v>31</v>
      </c>
      <c r="J6" s="190">
        <v>30</v>
      </c>
      <c r="K6" s="190">
        <v>31</v>
      </c>
      <c r="L6" s="190">
        <v>30</v>
      </c>
      <c r="M6" s="190">
        <v>31</v>
      </c>
      <c r="N6" s="190">
        <v>31</v>
      </c>
      <c r="O6" s="190">
        <v>30</v>
      </c>
      <c r="P6" s="185">
        <f>SUM(D6:O6)</f>
        <v>365</v>
      </c>
    </row>
    <row r="7" spans="1:16" ht="15" customHeight="1">
      <c r="A7" s="85">
        <f>MAX($A$4:A6)+1</f>
        <v>3</v>
      </c>
      <c r="B7" s="171" t="s">
        <v>477</v>
      </c>
      <c r="C7" s="189"/>
      <c r="D7" s="189">
        <v>31</v>
      </c>
      <c r="E7" s="189">
        <v>30</v>
      </c>
      <c r="F7" s="189">
        <v>31</v>
      </c>
      <c r="G7" s="189">
        <v>31</v>
      </c>
      <c r="H7" s="196">
        <v>29</v>
      </c>
      <c r="I7" s="190">
        <v>31</v>
      </c>
      <c r="J7" s="190">
        <v>30</v>
      </c>
      <c r="K7" s="190">
        <v>31</v>
      </c>
      <c r="L7" s="190">
        <v>30</v>
      </c>
      <c r="M7" s="190">
        <v>31</v>
      </c>
      <c r="N7" s="190">
        <v>31</v>
      </c>
      <c r="O7" s="190">
        <v>30</v>
      </c>
      <c r="P7" s="185">
        <f>SUM(D7:O7)</f>
        <v>366</v>
      </c>
    </row>
    <row r="8" spans="1:16" ht="15" customHeight="1">
      <c r="A8" s="85">
        <f>MAX($A$4:A7)+1</f>
        <v>4</v>
      </c>
      <c r="B8" s="191" t="s">
        <v>142</v>
      </c>
      <c r="C8" s="192"/>
      <c r="D8" s="192"/>
      <c r="E8" s="192"/>
      <c r="F8" s="192"/>
      <c r="G8" s="174"/>
      <c r="H8" s="174"/>
      <c r="I8" s="193"/>
      <c r="J8" s="194"/>
      <c r="K8" s="194"/>
      <c r="L8" s="194"/>
      <c r="M8" s="194"/>
      <c r="N8" s="194"/>
      <c r="O8" s="194"/>
      <c r="P8" s="195"/>
    </row>
    <row r="9" spans="1:16" ht="15" customHeight="1">
      <c r="A9" s="85">
        <f>MAX($A$4:A8)+1</f>
        <v>5</v>
      </c>
      <c r="B9" s="197" t="s">
        <v>448</v>
      </c>
      <c r="C9" s="175" t="s">
        <v>27</v>
      </c>
      <c r="D9" s="175"/>
      <c r="E9" s="175"/>
      <c r="F9" s="175"/>
      <c r="G9" s="175"/>
      <c r="H9" s="175"/>
      <c r="I9" s="176"/>
      <c r="J9" s="177"/>
      <c r="K9" s="177"/>
      <c r="L9" s="177"/>
      <c r="M9" s="177"/>
      <c r="N9" s="177"/>
      <c r="O9" s="177"/>
      <c r="P9" s="184"/>
    </row>
    <row r="10" spans="1:16" ht="15" customHeight="1">
      <c r="A10" s="85">
        <f>MAX($A$4:A9)+1</f>
        <v>6</v>
      </c>
      <c r="B10" s="173" t="s">
        <v>75</v>
      </c>
      <c r="C10" s="189" t="s">
        <v>77</v>
      </c>
      <c r="D10" s="178">
        <f>D13*D$5</f>
        <v>5.0958896761514527</v>
      </c>
      <c r="E10" s="178">
        <f t="shared" ref="E10:O11" si="0">E13*E$5</f>
        <v>0</v>
      </c>
      <c r="F10" s="178">
        <f t="shared" si="0"/>
        <v>2879.1776670255708</v>
      </c>
      <c r="G10" s="178">
        <f t="shared" si="0"/>
        <v>3511.067986868351</v>
      </c>
      <c r="H10" s="178">
        <f t="shared" si="0"/>
        <v>5408.2183982381548</v>
      </c>
      <c r="I10" s="178">
        <f t="shared" si="0"/>
        <v>12739.724190378633</v>
      </c>
      <c r="J10" s="178">
        <f t="shared" si="0"/>
        <v>18463.558981462294</v>
      </c>
      <c r="K10" s="178">
        <f t="shared" si="0"/>
        <v>17407.559133733364</v>
      </c>
      <c r="L10" s="178">
        <f t="shared" si="0"/>
        <v>21654.243452884868</v>
      </c>
      <c r="M10" s="178">
        <f t="shared" si="0"/>
        <v>22620.654272436299</v>
      </c>
      <c r="N10" s="178">
        <f t="shared" si="0"/>
        <v>1273.9724190378633</v>
      </c>
      <c r="O10" s="178">
        <f t="shared" si="0"/>
        <v>0</v>
      </c>
      <c r="P10" s="182">
        <f>SUM(D10:O10)</f>
        <v>105963.27239174154</v>
      </c>
    </row>
    <row r="11" spans="1:16" ht="15" customHeight="1">
      <c r="A11" s="85">
        <f>MAX($A$4:A10)+1</f>
        <v>7</v>
      </c>
      <c r="B11" s="173" t="s">
        <v>76</v>
      </c>
      <c r="C11" s="189" t="s">
        <v>77</v>
      </c>
      <c r="D11" s="178">
        <f>D14*D$5</f>
        <v>0</v>
      </c>
      <c r="E11" s="178">
        <f t="shared" si="0"/>
        <v>0</v>
      </c>
      <c r="F11" s="178">
        <f>F14*F$5</f>
        <v>8286.0711030082039</v>
      </c>
      <c r="G11" s="178">
        <f t="shared" si="0"/>
        <v>9552.634457611668</v>
      </c>
      <c r="H11" s="178">
        <f t="shared" si="0"/>
        <v>11251.558796718322</v>
      </c>
      <c r="I11" s="178">
        <f t="shared" si="0"/>
        <v>26969.152233363719</v>
      </c>
      <c r="J11" s="178">
        <f t="shared" si="0"/>
        <v>29288.969917958068</v>
      </c>
      <c r="K11" s="178">
        <f t="shared" si="0"/>
        <v>56196.754785779398</v>
      </c>
      <c r="L11" s="178">
        <f t="shared" si="0"/>
        <v>57229.17046490428</v>
      </c>
      <c r="M11" s="178">
        <f t="shared" si="0"/>
        <v>30066.891522333637</v>
      </c>
      <c r="N11" s="178">
        <f t="shared" si="0"/>
        <v>21302.68003646308</v>
      </c>
      <c r="O11" s="178">
        <f t="shared" si="0"/>
        <v>13541.841385597083</v>
      </c>
      <c r="P11" s="182">
        <f>SUM(D11:O11)</f>
        <v>263685.72470373748</v>
      </c>
    </row>
    <row r="12" spans="1:16" ht="15" customHeight="1">
      <c r="A12" s="85">
        <f>MAX($A$4:A11)+1</f>
        <v>8</v>
      </c>
      <c r="B12" s="173" t="s">
        <v>38</v>
      </c>
      <c r="C12" s="189" t="s">
        <v>79</v>
      </c>
      <c r="D12" s="178">
        <f>D15*D$5*24</f>
        <v>225107.90136986302</v>
      </c>
      <c r="E12" s="178">
        <f t="shared" ref="E12:O12" si="1">E15*E$5*24</f>
        <v>241730.63013698632</v>
      </c>
      <c r="F12" s="178">
        <f t="shared" si="1"/>
        <v>125945.95068493151</v>
      </c>
      <c r="G12" s="178">
        <f t="shared" si="1"/>
        <v>140304.13150684931</v>
      </c>
      <c r="H12" s="178">
        <f t="shared" si="1"/>
        <v>138060.09863013698</v>
      </c>
      <c r="I12" s="178">
        <f t="shared" si="1"/>
        <v>204390.04931506849</v>
      </c>
      <c r="J12" s="178">
        <f t="shared" si="1"/>
        <v>346617.8630136986</v>
      </c>
      <c r="K12" s="178">
        <f t="shared" si="1"/>
        <v>168849.27123287669</v>
      </c>
      <c r="L12" s="178">
        <f t="shared" si="1"/>
        <v>271651.06849315064</v>
      </c>
      <c r="M12" s="178">
        <f t="shared" si="1"/>
        <v>297877.21643835615</v>
      </c>
      <c r="N12" s="178">
        <f t="shared" si="1"/>
        <v>32507.704109589038</v>
      </c>
      <c r="O12" s="178">
        <f t="shared" si="1"/>
        <v>42584.547945205471</v>
      </c>
      <c r="P12" s="182">
        <f>SUM(D12:O12)</f>
        <v>2235626.4328767122</v>
      </c>
    </row>
    <row r="13" spans="1:16" ht="15" customHeight="1">
      <c r="A13" s="85">
        <f>MAX($A$4:A12)+1</f>
        <v>9</v>
      </c>
      <c r="B13" s="173" t="s">
        <v>75</v>
      </c>
      <c r="C13" s="189" t="s">
        <v>131</v>
      </c>
      <c r="D13" s="178">
        <v>0.16438353794036945</v>
      </c>
      <c r="E13" s="178">
        <v>0</v>
      </c>
      <c r="F13" s="178">
        <v>92.876698936308742</v>
      </c>
      <c r="G13" s="178">
        <v>113.26025764091455</v>
      </c>
      <c r="H13" s="178">
        <v>193.15065707993409</v>
      </c>
      <c r="I13" s="178">
        <v>410.95884485092364</v>
      </c>
      <c r="J13" s="178">
        <v>615.4519660487432</v>
      </c>
      <c r="K13" s="178">
        <v>561.53416560430207</v>
      </c>
      <c r="L13" s="178">
        <v>721.80811509616228</v>
      </c>
      <c r="M13" s="178">
        <v>729.69852491730001</v>
      </c>
      <c r="N13" s="178">
        <v>41.095884485092363</v>
      </c>
      <c r="O13" s="178">
        <v>0</v>
      </c>
      <c r="P13" s="182">
        <f>AVERAGE(D13:O13)</f>
        <v>289.99995818313511</v>
      </c>
    </row>
    <row r="14" spans="1:16" ht="15" customHeight="1">
      <c r="A14" s="85">
        <f>MAX($A$4:A13)+1</f>
        <v>10</v>
      </c>
      <c r="B14" s="173" t="s">
        <v>76</v>
      </c>
      <c r="C14" s="189" t="s">
        <v>131</v>
      </c>
      <c r="D14" s="178">
        <v>0</v>
      </c>
      <c r="E14" s="178">
        <v>0</v>
      </c>
      <c r="F14" s="178">
        <v>267.29261622607112</v>
      </c>
      <c r="G14" s="178">
        <v>308.14949863263445</v>
      </c>
      <c r="H14" s="178">
        <v>401.84138559708293</v>
      </c>
      <c r="I14" s="178">
        <v>869.97265268915226</v>
      </c>
      <c r="J14" s="178">
        <v>976.29899726526889</v>
      </c>
      <c r="K14" s="178">
        <v>1812.7985414767547</v>
      </c>
      <c r="L14" s="178">
        <v>1907.6390154968094</v>
      </c>
      <c r="M14" s="178">
        <v>969.89972652689153</v>
      </c>
      <c r="N14" s="178">
        <v>687.18322698268003</v>
      </c>
      <c r="O14" s="178">
        <v>451.39471285323611</v>
      </c>
      <c r="P14" s="182">
        <f>AVERAGE(D14:O14)</f>
        <v>721.03919781221509</v>
      </c>
    </row>
    <row r="15" spans="1:16" ht="15" customHeight="1">
      <c r="A15" s="85">
        <f>MAX($A$4:A14)+1</f>
        <v>11</v>
      </c>
      <c r="B15" s="173" t="s">
        <v>38</v>
      </c>
      <c r="C15" s="189" t="s">
        <v>131</v>
      </c>
      <c r="D15" s="178">
        <v>302.56438356164381</v>
      </c>
      <c r="E15" s="178">
        <v>335.73698630136988</v>
      </c>
      <c r="F15" s="178">
        <v>169.2821917808219</v>
      </c>
      <c r="G15" s="178">
        <v>188.58082191780821</v>
      </c>
      <c r="H15" s="178">
        <v>205.44657534246574</v>
      </c>
      <c r="I15" s="178">
        <v>274.7178082191781</v>
      </c>
      <c r="J15" s="178">
        <v>481.41369863013693</v>
      </c>
      <c r="K15" s="178">
        <v>226.94794520547944</v>
      </c>
      <c r="L15" s="178">
        <v>377.2931506849315</v>
      </c>
      <c r="M15" s="178">
        <v>400.37260273972601</v>
      </c>
      <c r="N15" s="178">
        <v>43.693150684931503</v>
      </c>
      <c r="O15" s="178">
        <v>59.145205479452045</v>
      </c>
      <c r="P15" s="182">
        <f>AVERAGE(D15:O15)</f>
        <v>255.43287671232872</v>
      </c>
    </row>
    <row r="16" spans="1:16" ht="15" customHeight="1">
      <c r="A16" s="85">
        <f>MAX($A$4:A15)+1</f>
        <v>12</v>
      </c>
      <c r="B16" s="199" t="s">
        <v>469</v>
      </c>
      <c r="C16" s="189" t="s">
        <v>131</v>
      </c>
      <c r="D16" s="179">
        <f t="shared" ref="D16:O16" si="2">SUM(D13:D15)</f>
        <v>302.72876709958416</v>
      </c>
      <c r="E16" s="179">
        <f t="shared" si="2"/>
        <v>335.73698630136988</v>
      </c>
      <c r="F16" s="179">
        <f t="shared" si="2"/>
        <v>529.45150694320182</v>
      </c>
      <c r="G16" s="179">
        <f t="shared" si="2"/>
        <v>609.99057819135714</v>
      </c>
      <c r="H16" s="179">
        <f t="shared" si="2"/>
        <v>800.43861801948276</v>
      </c>
      <c r="I16" s="179">
        <f t="shared" si="2"/>
        <v>1555.649305759254</v>
      </c>
      <c r="J16" s="179">
        <f t="shared" si="2"/>
        <v>2073.164661944149</v>
      </c>
      <c r="K16" s="179">
        <f t="shared" si="2"/>
        <v>2601.2806522865362</v>
      </c>
      <c r="L16" s="179">
        <f t="shared" si="2"/>
        <v>3006.7402812779033</v>
      </c>
      <c r="M16" s="179">
        <f t="shared" si="2"/>
        <v>2099.9708541839177</v>
      </c>
      <c r="N16" s="179">
        <f t="shared" si="2"/>
        <v>771.97226215270393</v>
      </c>
      <c r="O16" s="179">
        <f t="shared" si="2"/>
        <v>510.53991833268816</v>
      </c>
      <c r="P16" s="183">
        <f>SUM(P13:P15)</f>
        <v>1266.4720327076789</v>
      </c>
    </row>
    <row r="17" spans="1:16" ht="15" customHeight="1">
      <c r="A17" s="85">
        <f>MAX($A$4:A16)+1</f>
        <v>13</v>
      </c>
      <c r="B17" s="197" t="s">
        <v>449</v>
      </c>
      <c r="C17" s="175" t="s">
        <v>27</v>
      </c>
      <c r="D17" s="201"/>
      <c r="E17" s="201"/>
      <c r="F17" s="201"/>
      <c r="G17" s="201"/>
      <c r="H17" s="201"/>
      <c r="I17" s="202"/>
      <c r="J17" s="203"/>
      <c r="K17" s="203"/>
      <c r="L17" s="203"/>
      <c r="M17" s="203"/>
      <c r="N17" s="203"/>
      <c r="O17" s="203"/>
      <c r="P17" s="184"/>
    </row>
    <row r="18" spans="1:16" ht="15" customHeight="1">
      <c r="A18" s="85">
        <f>MAX($A$4:A17)+1</f>
        <v>14</v>
      </c>
      <c r="B18" s="173" t="s">
        <v>75</v>
      </c>
      <c r="C18" s="189" t="s">
        <v>77</v>
      </c>
      <c r="D18" s="178">
        <f>D21*D$6</f>
        <v>5.0958896761514527</v>
      </c>
      <c r="E18" s="178">
        <f t="shared" ref="E18:G18" si="3">E21*E$6</f>
        <v>0</v>
      </c>
      <c r="F18" s="178">
        <f t="shared" si="3"/>
        <v>3093.2050334239316</v>
      </c>
      <c r="G18" s="178">
        <f t="shared" si="3"/>
        <v>4142.9583067111307</v>
      </c>
      <c r="H18" s="178">
        <f>H21*H$6</f>
        <v>5514.0813966717524</v>
      </c>
      <c r="I18" s="178">
        <f t="shared" ref="I18:O18" si="4">I21*I$6</f>
        <v>12755.011859407086</v>
      </c>
      <c r="J18" s="178">
        <f t="shared" si="4"/>
        <v>18616.43567174684</v>
      </c>
      <c r="K18" s="178">
        <f t="shared" si="4"/>
        <v>17494.189258227936</v>
      </c>
      <c r="L18" s="178">
        <f t="shared" si="4"/>
        <v>21930.407796624688</v>
      </c>
      <c r="M18" s="178">
        <f t="shared" si="4"/>
        <v>22579.887155027085</v>
      </c>
      <c r="N18" s="178">
        <f t="shared" si="4"/>
        <v>1340.2189848278322</v>
      </c>
      <c r="O18" s="178">
        <f t="shared" si="4"/>
        <v>0</v>
      </c>
      <c r="P18" s="185">
        <f>SUM(D18:O18)</f>
        <v>107471.49135234444</v>
      </c>
    </row>
    <row r="19" spans="1:16" ht="15" customHeight="1">
      <c r="A19" s="85">
        <f>MAX($A$4:A18)+1</f>
        <v>15</v>
      </c>
      <c r="B19" s="173" t="s">
        <v>76</v>
      </c>
      <c r="C19" s="189" t="s">
        <v>77</v>
      </c>
      <c r="D19" s="178">
        <f>D22*D$6</f>
        <v>0</v>
      </c>
      <c r="E19" s="178">
        <f t="shared" ref="E19:G19" si="5">E22*E$6</f>
        <v>0</v>
      </c>
      <c r="F19" s="178">
        <f t="shared" si="5"/>
        <v>8850.6836827711941</v>
      </c>
      <c r="G19" s="178">
        <f t="shared" si="5"/>
        <v>11378.723792160437</v>
      </c>
      <c r="H19" s="178">
        <f>H22*H$6</f>
        <v>11600.729261622608</v>
      </c>
      <c r="I19" s="178">
        <f t="shared" ref="I19:O19" si="6">I22*I$6</f>
        <v>26979.325432999089</v>
      </c>
      <c r="J19" s="178">
        <f t="shared" si="6"/>
        <v>29594.165907019142</v>
      </c>
      <c r="K19" s="178">
        <f t="shared" si="6"/>
        <v>56461.257976298992</v>
      </c>
      <c r="L19" s="178">
        <f t="shared" si="6"/>
        <v>57923.245214220602</v>
      </c>
      <c r="M19" s="178">
        <f t="shared" si="6"/>
        <v>30010.938924339105</v>
      </c>
      <c r="N19" s="178">
        <f t="shared" si="6"/>
        <v>22487.857793983592</v>
      </c>
      <c r="O19" s="178">
        <f t="shared" si="6"/>
        <v>14521.422060164083</v>
      </c>
      <c r="P19" s="185">
        <f>SUM(D19:O19)</f>
        <v>269808.35004557885</v>
      </c>
    </row>
    <row r="20" spans="1:16" ht="15" customHeight="1">
      <c r="A20" s="85">
        <f>MAX($A$4:A19)+1</f>
        <v>16</v>
      </c>
      <c r="B20" s="173" t="s">
        <v>38</v>
      </c>
      <c r="C20" s="189" t="s">
        <v>79</v>
      </c>
      <c r="D20" s="178">
        <f>D23*D$6*24</f>
        <v>227235.94520547945</v>
      </c>
      <c r="E20" s="178">
        <f t="shared" ref="E20:G20" si="7">E23*E$6*24</f>
        <v>259626.08219178082</v>
      </c>
      <c r="F20" s="178">
        <f t="shared" si="7"/>
        <v>134580.42739726027</v>
      </c>
      <c r="G20" s="178">
        <f t="shared" si="7"/>
        <v>168115.46301369864</v>
      </c>
      <c r="H20" s="178">
        <f>H23*H$6*24</f>
        <v>144003.15616438357</v>
      </c>
      <c r="I20" s="178">
        <f t="shared" ref="I20:O20" si="8">I23*I$6*24</f>
        <v>204561.27123287666</v>
      </c>
      <c r="J20" s="178">
        <f t="shared" si="8"/>
        <v>349529.42465753423</v>
      </c>
      <c r="K20" s="178">
        <f t="shared" si="8"/>
        <v>167283.81369863014</v>
      </c>
      <c r="L20" s="178">
        <f t="shared" si="8"/>
        <v>274941.36986301362</v>
      </c>
      <c r="M20" s="178">
        <f t="shared" si="8"/>
        <v>297461.39178082196</v>
      </c>
      <c r="N20" s="178">
        <f t="shared" si="8"/>
        <v>34293.304109589037</v>
      </c>
      <c r="O20" s="178">
        <f t="shared" si="8"/>
        <v>45590.794520547941</v>
      </c>
      <c r="P20" s="185">
        <f>SUM(D20:O20)</f>
        <v>2307222.4438356166</v>
      </c>
    </row>
    <row r="21" spans="1:16" ht="15" customHeight="1">
      <c r="A21" s="85">
        <f>MAX($A$4:A20)+1</f>
        <v>17</v>
      </c>
      <c r="B21" s="173" t="s">
        <v>75</v>
      </c>
      <c r="C21" s="189" t="s">
        <v>131</v>
      </c>
      <c r="D21" s="581">
        <v>0.16438353794036945</v>
      </c>
      <c r="E21" s="581">
        <v>0</v>
      </c>
      <c r="F21" s="581">
        <v>99.78080752980425</v>
      </c>
      <c r="G21" s="581">
        <v>133.64381634552035</v>
      </c>
      <c r="H21" s="581">
        <v>196.9314784525626</v>
      </c>
      <c r="I21" s="581">
        <v>411.4519954647447</v>
      </c>
      <c r="J21" s="581">
        <v>620.5478557248947</v>
      </c>
      <c r="K21" s="581">
        <v>564.3286857492883</v>
      </c>
      <c r="L21" s="581">
        <v>731.01359322082294</v>
      </c>
      <c r="M21" s="581">
        <v>728.38345661377696</v>
      </c>
      <c r="N21" s="581">
        <v>43.232870478317167</v>
      </c>
      <c r="O21" s="581">
        <v>0</v>
      </c>
      <c r="P21" s="185">
        <f>AVERAGE(D21:O21)</f>
        <v>294.12324525980603</v>
      </c>
    </row>
    <row r="22" spans="1:16" ht="15" customHeight="1">
      <c r="A22" s="85">
        <f>MAX($A$4:A21)+1</f>
        <v>18</v>
      </c>
      <c r="B22" s="173" t="s">
        <v>76</v>
      </c>
      <c r="C22" s="189" t="s">
        <v>131</v>
      </c>
      <c r="D22" s="581">
        <v>0</v>
      </c>
      <c r="E22" s="581">
        <v>0</v>
      </c>
      <c r="F22" s="581">
        <v>285.50592525068367</v>
      </c>
      <c r="G22" s="581">
        <v>367.05560619872381</v>
      </c>
      <c r="H22" s="581">
        <v>414.31175934366456</v>
      </c>
      <c r="I22" s="581">
        <v>870.30082041932542</v>
      </c>
      <c r="J22" s="581">
        <v>986.4721969006381</v>
      </c>
      <c r="K22" s="581">
        <v>1821.3309024612579</v>
      </c>
      <c r="L22" s="581">
        <v>1930.77484047402</v>
      </c>
      <c r="M22" s="581">
        <v>968.0948040109389</v>
      </c>
      <c r="N22" s="581">
        <v>725.41476754785776</v>
      </c>
      <c r="O22" s="581">
        <v>484.04740200546945</v>
      </c>
      <c r="P22" s="185">
        <f>AVERAGE(D22:O22)</f>
        <v>737.77575205104824</v>
      </c>
    </row>
    <row r="23" spans="1:16" ht="15" customHeight="1">
      <c r="A23" s="85">
        <f>MAX($A$4:A22)+1</f>
        <v>19</v>
      </c>
      <c r="B23" s="173" t="s">
        <v>38</v>
      </c>
      <c r="C23" s="189" t="s">
        <v>131</v>
      </c>
      <c r="D23" s="582">
        <v>305.42465753424653</v>
      </c>
      <c r="E23" s="582">
        <v>360.59178082191778</v>
      </c>
      <c r="F23" s="582">
        <v>180.8876712328767</v>
      </c>
      <c r="G23" s="582">
        <v>225.96164383561643</v>
      </c>
      <c r="H23" s="582">
        <v>214.29041095890412</v>
      </c>
      <c r="I23" s="582">
        <v>274.94794520547941</v>
      </c>
      <c r="J23" s="582">
        <v>485.45753424657528</v>
      </c>
      <c r="K23" s="582">
        <v>224.84383561643835</v>
      </c>
      <c r="L23" s="582">
        <v>381.86301369863008</v>
      </c>
      <c r="M23" s="582">
        <v>399.81369863013697</v>
      </c>
      <c r="N23" s="582">
        <v>46.093150684931501</v>
      </c>
      <c r="O23" s="582">
        <v>63.320547945205476</v>
      </c>
      <c r="P23" s="185">
        <f>AVERAGE(D23:O23)</f>
        <v>263.62465753424664</v>
      </c>
    </row>
    <row r="24" spans="1:16" ht="15" customHeight="1">
      <c r="A24" s="85">
        <f>MAX($A$4:A23)+1</f>
        <v>20</v>
      </c>
      <c r="B24" s="199" t="s">
        <v>470</v>
      </c>
      <c r="C24" s="189" t="s">
        <v>131</v>
      </c>
      <c r="D24" s="179">
        <f t="shared" ref="D24:P24" si="9">SUM(D21:D23)</f>
        <v>305.58904107218689</v>
      </c>
      <c r="E24" s="179">
        <f t="shared" si="9"/>
        <v>360.59178082191778</v>
      </c>
      <c r="F24" s="179">
        <f t="shared" si="9"/>
        <v>566.17440401336466</v>
      </c>
      <c r="G24" s="179">
        <f t="shared" si="9"/>
        <v>726.66106637986059</v>
      </c>
      <c r="H24" s="179">
        <f t="shared" si="9"/>
        <v>825.53364875513125</v>
      </c>
      <c r="I24" s="179">
        <f t="shared" si="9"/>
        <v>1556.7007610895494</v>
      </c>
      <c r="J24" s="179">
        <f t="shared" si="9"/>
        <v>2092.4775868721081</v>
      </c>
      <c r="K24" s="179">
        <f t="shared" si="9"/>
        <v>2610.5034238269845</v>
      </c>
      <c r="L24" s="179">
        <f t="shared" si="9"/>
        <v>3043.6514473934731</v>
      </c>
      <c r="M24" s="179">
        <f t="shared" si="9"/>
        <v>2096.2919592548528</v>
      </c>
      <c r="N24" s="179">
        <f t="shared" si="9"/>
        <v>814.74078871110646</v>
      </c>
      <c r="O24" s="179">
        <f t="shared" si="9"/>
        <v>547.36794995067498</v>
      </c>
      <c r="P24" s="181">
        <f t="shared" si="9"/>
        <v>1295.5236548451007</v>
      </c>
    </row>
    <row r="25" spans="1:16" ht="15" customHeight="1">
      <c r="A25" s="85">
        <f>MAX($A$4:A24)+1</f>
        <v>21</v>
      </c>
      <c r="B25" s="197" t="s">
        <v>450</v>
      </c>
      <c r="C25" s="175" t="s">
        <v>27</v>
      </c>
      <c r="D25" s="201"/>
      <c r="E25" s="201"/>
      <c r="F25" s="201"/>
      <c r="G25" s="201"/>
      <c r="H25" s="201"/>
      <c r="I25" s="202"/>
      <c r="J25" s="203"/>
      <c r="K25" s="203"/>
      <c r="L25" s="203"/>
      <c r="M25" s="203"/>
      <c r="N25" s="203"/>
      <c r="O25" s="203"/>
      <c r="P25" s="184"/>
    </row>
    <row r="26" spans="1:16" ht="15" customHeight="1">
      <c r="A26" s="85">
        <f>MAX($A$4:A25)+1</f>
        <v>22</v>
      </c>
      <c r="B26" s="173" t="s">
        <v>75</v>
      </c>
      <c r="C26" s="189" t="s">
        <v>77</v>
      </c>
      <c r="D26" s="178">
        <f>D29*D$7</f>
        <v>5.0958896761514527</v>
      </c>
      <c r="E26" s="178">
        <f t="shared" ref="E26:O26" si="10">E29*E$7</f>
        <v>0</v>
      </c>
      <c r="F26" s="178">
        <f t="shared" si="10"/>
        <v>2904.6571154063281</v>
      </c>
      <c r="G26" s="178">
        <f t="shared" si="10"/>
        <v>3531.451545572957</v>
      </c>
      <c r="H26" s="178">
        <f t="shared" si="10"/>
        <v>5663.3416491216085</v>
      </c>
      <c r="I26" s="178">
        <f t="shared" si="10"/>
        <v>12846.737873577813</v>
      </c>
      <c r="J26" s="178">
        <f t="shared" si="10"/>
        <v>18611.504165608629</v>
      </c>
      <c r="K26" s="178">
        <f t="shared" si="10"/>
        <v>17545.148154989452</v>
      </c>
      <c r="L26" s="178">
        <f t="shared" si="10"/>
        <v>21831.777673860466</v>
      </c>
      <c r="M26" s="178">
        <f t="shared" si="10"/>
        <v>22799.010411101601</v>
      </c>
      <c r="N26" s="178">
        <f t="shared" si="10"/>
        <v>1284.1641983901661</v>
      </c>
      <c r="O26" s="178">
        <f t="shared" si="10"/>
        <v>0</v>
      </c>
      <c r="P26" s="185">
        <f>SUM(D26:O26)</f>
        <v>107022.88867730518</v>
      </c>
    </row>
    <row r="27" spans="1:16" ht="15" customHeight="1">
      <c r="A27" s="85">
        <f>MAX($A$4:A26)+1</f>
        <v>23</v>
      </c>
      <c r="B27" s="173" t="s">
        <v>76</v>
      </c>
      <c r="C27" s="189" t="s">
        <v>77</v>
      </c>
      <c r="D27" s="178">
        <f>D30*D$7</f>
        <v>0</v>
      </c>
      <c r="E27" s="178">
        <f t="shared" ref="E27:O27" si="11">E30*E$7</f>
        <v>0</v>
      </c>
      <c r="F27" s="178">
        <f t="shared" si="11"/>
        <v>8347.1103008204209</v>
      </c>
      <c r="G27" s="178">
        <f t="shared" si="11"/>
        <v>9628.9334548769366</v>
      </c>
      <c r="H27" s="178">
        <f t="shared" si="11"/>
        <v>11748.568824065635</v>
      </c>
      <c r="I27" s="178">
        <f t="shared" si="11"/>
        <v>27187.876025524158</v>
      </c>
      <c r="J27" s="178">
        <f t="shared" si="11"/>
        <v>29520.328167730175</v>
      </c>
      <c r="K27" s="178">
        <f t="shared" si="11"/>
        <v>56654.548769371009</v>
      </c>
      <c r="L27" s="178">
        <f t="shared" si="11"/>
        <v>57686.964448495899</v>
      </c>
      <c r="M27" s="178">
        <f t="shared" si="11"/>
        <v>30311.048313582498</v>
      </c>
      <c r="N27" s="178">
        <f t="shared" si="11"/>
        <v>21485.797629899727</v>
      </c>
      <c r="O27" s="178">
        <f t="shared" si="11"/>
        <v>13655.059252506837</v>
      </c>
      <c r="P27" s="185">
        <f>SUM(D27:O27)</f>
        <v>266226.23518687329</v>
      </c>
    </row>
    <row r="28" spans="1:16" ht="15" customHeight="1">
      <c r="A28" s="85">
        <f>MAX($A$4:A27)+1</f>
        <v>24</v>
      </c>
      <c r="B28" s="173" t="s">
        <v>38</v>
      </c>
      <c r="C28" s="189" t="s">
        <v>79</v>
      </c>
      <c r="D28" s="178">
        <f>D31*D$7*24</f>
        <v>226917.96164383559</v>
      </c>
      <c r="E28" s="178">
        <f t="shared" ref="E28:O28" si="12">E31*E$7*24</f>
        <v>243695.34246575343</v>
      </c>
      <c r="F28" s="178">
        <f t="shared" si="12"/>
        <v>126948.82191780821</v>
      </c>
      <c r="G28" s="178">
        <f t="shared" si="12"/>
        <v>141453.76438356162</v>
      </c>
      <c r="H28" s="178">
        <f t="shared" si="12"/>
        <v>144157.80821917808</v>
      </c>
      <c r="I28" s="178">
        <f t="shared" si="12"/>
        <v>206028.88767123286</v>
      </c>
      <c r="J28" s="178">
        <f t="shared" si="12"/>
        <v>349411.06849315064</v>
      </c>
      <c r="K28" s="178">
        <f t="shared" si="12"/>
        <v>170219.04657534242</v>
      </c>
      <c r="L28" s="178">
        <f t="shared" si="12"/>
        <v>273828.82191780815</v>
      </c>
      <c r="M28" s="178">
        <f t="shared" si="12"/>
        <v>300323.24383561645</v>
      </c>
      <c r="N28" s="178">
        <f t="shared" si="12"/>
        <v>32727.846575342464</v>
      </c>
      <c r="O28" s="178">
        <f t="shared" si="12"/>
        <v>42892.273972602736</v>
      </c>
      <c r="P28" s="185">
        <f>SUM(D28:O28)</f>
        <v>2258604.8876712327</v>
      </c>
    </row>
    <row r="29" spans="1:16" ht="15" customHeight="1">
      <c r="A29" s="85">
        <f>MAX($A$4:A28)+1</f>
        <v>25</v>
      </c>
      <c r="B29" s="173" t="s">
        <v>75</v>
      </c>
      <c r="C29" s="189" t="s">
        <v>131</v>
      </c>
      <c r="D29" s="178">
        <v>0.16438353794036945</v>
      </c>
      <c r="E29" s="178">
        <v>0</v>
      </c>
      <c r="F29" s="178">
        <v>93.69861662601059</v>
      </c>
      <c r="G29" s="178">
        <v>113.91779179267603</v>
      </c>
      <c r="H29" s="178">
        <v>195.2876430731589</v>
      </c>
      <c r="I29" s="178">
        <v>414.41089914767139</v>
      </c>
      <c r="J29" s="178">
        <v>620.38347218695424</v>
      </c>
      <c r="K29" s="178">
        <v>565.97252112869205</v>
      </c>
      <c r="L29" s="178">
        <v>727.72592246201555</v>
      </c>
      <c r="M29" s="178">
        <v>735.45194874521292</v>
      </c>
      <c r="N29" s="178">
        <v>41.424651560973103</v>
      </c>
      <c r="O29" s="178">
        <v>0</v>
      </c>
      <c r="P29" s="185">
        <f>AVERAGE(D29:O29)</f>
        <v>292.36982085510874</v>
      </c>
    </row>
    <row r="30" spans="1:16" ht="15" customHeight="1">
      <c r="A30" s="85">
        <f>MAX($A$4:A29)+1</f>
        <v>26</v>
      </c>
      <c r="B30" s="173" t="s">
        <v>76</v>
      </c>
      <c r="C30" s="189" t="s">
        <v>131</v>
      </c>
      <c r="D30" s="178">
        <v>0</v>
      </c>
      <c r="E30" s="178">
        <v>0</v>
      </c>
      <c r="F30" s="178">
        <v>269.26162260711033</v>
      </c>
      <c r="G30" s="178">
        <v>310.61075660893346</v>
      </c>
      <c r="H30" s="178">
        <v>405.12306289881496</v>
      </c>
      <c r="I30" s="178">
        <v>877.02825888787606</v>
      </c>
      <c r="J30" s="178">
        <v>984.01093892433914</v>
      </c>
      <c r="K30" s="178">
        <v>1827.5660893345487</v>
      </c>
      <c r="L30" s="178">
        <v>1922.8988149498632</v>
      </c>
      <c r="M30" s="178">
        <v>977.77575205104836</v>
      </c>
      <c r="N30" s="178">
        <v>693.09024612579765</v>
      </c>
      <c r="O30" s="178">
        <v>455.16864175022789</v>
      </c>
      <c r="P30" s="185">
        <f>AVERAGE(D30:O30)</f>
        <v>726.87784867821335</v>
      </c>
    </row>
    <row r="31" spans="1:16" ht="15" customHeight="1">
      <c r="A31" s="85">
        <f>MAX($A$4:A30)+1</f>
        <v>27</v>
      </c>
      <c r="B31" s="173" t="s">
        <v>38</v>
      </c>
      <c r="C31" s="189" t="s">
        <v>131</v>
      </c>
      <c r="D31" s="178">
        <v>304.99726027397259</v>
      </c>
      <c r="E31" s="178">
        <v>338.46575342465752</v>
      </c>
      <c r="F31" s="178">
        <v>170.63013698630135</v>
      </c>
      <c r="G31" s="178">
        <v>190.12602739726026</v>
      </c>
      <c r="H31" s="178">
        <v>207.12328767123287</v>
      </c>
      <c r="I31" s="178">
        <v>276.92054794520544</v>
      </c>
      <c r="J31" s="178">
        <v>485.2931506849315</v>
      </c>
      <c r="K31" s="178">
        <v>228.78904109589038</v>
      </c>
      <c r="L31" s="178">
        <v>380.317808219178</v>
      </c>
      <c r="M31" s="178">
        <v>403.66027397260274</v>
      </c>
      <c r="N31" s="178">
        <v>43.989041095890407</v>
      </c>
      <c r="O31" s="178">
        <v>59.572602739726022</v>
      </c>
      <c r="P31" s="185">
        <f>AVERAGE(D31:O31)</f>
        <v>257.49041095890408</v>
      </c>
    </row>
    <row r="32" spans="1:16" ht="15" customHeight="1">
      <c r="A32" s="85">
        <f>MAX($A$4:A31)+1</f>
        <v>28</v>
      </c>
      <c r="B32" s="199" t="s">
        <v>471</v>
      </c>
      <c r="C32" s="189" t="s">
        <v>131</v>
      </c>
      <c r="D32" s="179">
        <f t="shared" ref="D32:O32" si="13">SUM(D29:D31)</f>
        <v>305.16164381191294</v>
      </c>
      <c r="E32" s="179">
        <f t="shared" si="13"/>
        <v>338.46575342465752</v>
      </c>
      <c r="F32" s="179">
        <f t="shared" si="13"/>
        <v>533.5903762194223</v>
      </c>
      <c r="G32" s="179">
        <f t="shared" si="13"/>
        <v>614.6545757988697</v>
      </c>
      <c r="H32" s="179">
        <f t="shared" si="13"/>
        <v>807.53399364320671</v>
      </c>
      <c r="I32" s="179">
        <f t="shared" si="13"/>
        <v>1568.359705980753</v>
      </c>
      <c r="J32" s="179">
        <f t="shared" si="13"/>
        <v>2089.6875617962246</v>
      </c>
      <c r="K32" s="179">
        <f t="shared" si="13"/>
        <v>2622.327651559131</v>
      </c>
      <c r="L32" s="179">
        <f t="shared" si="13"/>
        <v>3030.9425456310569</v>
      </c>
      <c r="M32" s="179">
        <f t="shared" si="13"/>
        <v>2116.8879747688638</v>
      </c>
      <c r="N32" s="179">
        <f t="shared" si="13"/>
        <v>778.50393878266118</v>
      </c>
      <c r="O32" s="179">
        <f t="shared" si="13"/>
        <v>514.74124448995394</v>
      </c>
      <c r="P32" s="181">
        <f>SUM(P29:P31)</f>
        <v>1276.7380804922261</v>
      </c>
    </row>
    <row r="33" spans="1:16" ht="15" customHeight="1">
      <c r="A33" s="85">
        <f>MAX($A$4:A32)+1</f>
        <v>29</v>
      </c>
      <c r="B33" s="197" t="s">
        <v>451</v>
      </c>
      <c r="C33" s="175"/>
      <c r="D33" s="201"/>
      <c r="E33" s="201"/>
      <c r="F33" s="201"/>
      <c r="G33" s="201"/>
      <c r="H33" s="201"/>
      <c r="I33" s="202"/>
      <c r="J33" s="203"/>
      <c r="K33" s="203"/>
      <c r="L33" s="203"/>
      <c r="M33" s="203"/>
      <c r="N33" s="203"/>
      <c r="O33" s="203"/>
      <c r="P33" s="184"/>
    </row>
    <row r="34" spans="1:16" ht="15" customHeight="1">
      <c r="A34" s="85">
        <f>MAX($A$4:A33)+1</f>
        <v>30</v>
      </c>
      <c r="B34" s="198" t="s">
        <v>75</v>
      </c>
      <c r="C34" s="196" t="s">
        <v>131</v>
      </c>
      <c r="D34" s="178">
        <f>AVERAGE(D13,D21,D29)</f>
        <v>0.16438353794036945</v>
      </c>
      <c r="E34" s="178">
        <f t="shared" ref="E34:O34" si="14">AVERAGE(E13,E21,E29)</f>
        <v>0</v>
      </c>
      <c r="F34" s="178">
        <f t="shared" si="14"/>
        <v>95.452041030707846</v>
      </c>
      <c r="G34" s="178">
        <f>AVERAGE(G13,G21,G29)</f>
        <v>120.27395525970364</v>
      </c>
      <c r="H34" s="178">
        <f>AVERAGE(H13,H21,H29)</f>
        <v>195.12325953521852</v>
      </c>
      <c r="I34" s="178">
        <f t="shared" si="14"/>
        <v>412.27391315444657</v>
      </c>
      <c r="J34" s="178">
        <f t="shared" si="14"/>
        <v>618.79443132019742</v>
      </c>
      <c r="K34" s="178">
        <f t="shared" si="14"/>
        <v>563.94512416076088</v>
      </c>
      <c r="L34" s="178">
        <f t="shared" si="14"/>
        <v>726.84921025966696</v>
      </c>
      <c r="M34" s="178">
        <f t="shared" si="14"/>
        <v>731.17797675876329</v>
      </c>
      <c r="N34" s="178">
        <f>AVERAGE(N13,N21,N29)</f>
        <v>41.917802174794211</v>
      </c>
      <c r="O34" s="178">
        <f t="shared" si="14"/>
        <v>0</v>
      </c>
      <c r="P34" s="180">
        <f>AVERAGE(D34:O34)</f>
        <v>292.16434143268333</v>
      </c>
    </row>
    <row r="35" spans="1:16" ht="15" customHeight="1">
      <c r="A35" s="85">
        <f>MAX($A$4:A34)+1</f>
        <v>31</v>
      </c>
      <c r="B35" s="198" t="s">
        <v>76</v>
      </c>
      <c r="C35" s="196" t="s">
        <v>131</v>
      </c>
      <c r="D35" s="178">
        <f>AVERAGE(D14,D22,D30)</f>
        <v>0</v>
      </c>
      <c r="E35" s="178">
        <f t="shared" ref="E35:O35" si="15">AVERAGE(E14,E22,E30)</f>
        <v>0</v>
      </c>
      <c r="F35" s="178">
        <f t="shared" si="15"/>
        <v>274.02005469462171</v>
      </c>
      <c r="G35" s="178">
        <f>AVERAGE(G14,G22,G30)</f>
        <v>328.60528714676394</v>
      </c>
      <c r="H35" s="178">
        <f t="shared" si="15"/>
        <v>407.09206927985423</v>
      </c>
      <c r="I35" s="178">
        <f t="shared" si="15"/>
        <v>872.43391066545121</v>
      </c>
      <c r="J35" s="178">
        <f t="shared" si="15"/>
        <v>982.26071103008201</v>
      </c>
      <c r="K35" s="178">
        <f>AVERAGE(K14,K22,K30)</f>
        <v>1820.5651777575204</v>
      </c>
      <c r="L35" s="178">
        <f>AVERAGE(L14,L22,L30)</f>
        <v>1920.4375569735641</v>
      </c>
      <c r="M35" s="178">
        <f t="shared" si="15"/>
        <v>971.92342752962634</v>
      </c>
      <c r="N35" s="178">
        <f t="shared" si="15"/>
        <v>701.89608021877848</v>
      </c>
      <c r="O35" s="178">
        <f t="shared" si="15"/>
        <v>463.53691886964447</v>
      </c>
      <c r="P35" s="180">
        <f>AVERAGE(D35:O35)</f>
        <v>728.56426618049215</v>
      </c>
    </row>
    <row r="36" spans="1:16" ht="15" customHeight="1">
      <c r="A36" s="85">
        <f>MAX($A$4:A35)+1</f>
        <v>32</v>
      </c>
      <c r="B36" s="198" t="s">
        <v>38</v>
      </c>
      <c r="C36" s="196" t="s">
        <v>131</v>
      </c>
      <c r="D36" s="178">
        <f t="shared" ref="D36:O36" si="16">AVERAGE(D15,D23,D31)</f>
        <v>304.32876712328766</v>
      </c>
      <c r="E36" s="178">
        <f t="shared" si="16"/>
        <v>344.9315068493151</v>
      </c>
      <c r="F36" s="178">
        <f t="shared" si="16"/>
        <v>173.6</v>
      </c>
      <c r="G36" s="178">
        <f t="shared" si="16"/>
        <v>201.55616438356162</v>
      </c>
      <c r="H36" s="178">
        <f t="shared" si="16"/>
        <v>208.95342465753424</v>
      </c>
      <c r="I36" s="178">
        <f>AVERAGE(I15,I23,I31)</f>
        <v>275.52876712328765</v>
      </c>
      <c r="J36" s="178">
        <f t="shared" si="16"/>
        <v>484.05479452054789</v>
      </c>
      <c r="K36" s="178">
        <f t="shared" si="16"/>
        <v>226.86027397260273</v>
      </c>
      <c r="L36" s="178">
        <f t="shared" si="16"/>
        <v>379.82465753424657</v>
      </c>
      <c r="M36" s="178">
        <f>AVERAGE(M15,M23,M31)</f>
        <v>401.2821917808219</v>
      </c>
      <c r="N36" s="178">
        <f t="shared" si="16"/>
        <v>44.591780821917801</v>
      </c>
      <c r="O36" s="178">
        <f t="shared" si="16"/>
        <v>60.679452054794517</v>
      </c>
      <c r="P36" s="180">
        <f>AVERAGE(D36:O36)</f>
        <v>258.84931506849313</v>
      </c>
    </row>
    <row r="37" spans="1:16" ht="15" customHeight="1">
      <c r="A37" s="85">
        <f>MAX($A$4:A36)+1</f>
        <v>33</v>
      </c>
      <c r="B37" s="200" t="s">
        <v>478</v>
      </c>
      <c r="C37" s="196" t="s">
        <v>131</v>
      </c>
      <c r="D37" s="179">
        <f>SUM(D34:D36)</f>
        <v>304.49315066122801</v>
      </c>
      <c r="E37" s="179">
        <f t="shared" ref="E37:O37" si="17">SUM(E34:E36)</f>
        <v>344.9315068493151</v>
      </c>
      <c r="F37" s="179">
        <f t="shared" si="17"/>
        <v>543.07209572532952</v>
      </c>
      <c r="G37" s="179">
        <f t="shared" si="17"/>
        <v>650.43540679002922</v>
      </c>
      <c r="H37" s="179">
        <f t="shared" si="17"/>
        <v>811.16875347260702</v>
      </c>
      <c r="I37" s="179">
        <f t="shared" si="17"/>
        <v>1560.2365909431855</v>
      </c>
      <c r="J37" s="179">
        <f t="shared" si="17"/>
        <v>2085.1099368708274</v>
      </c>
      <c r="K37" s="179">
        <f t="shared" si="17"/>
        <v>2611.3705758908836</v>
      </c>
      <c r="L37" s="179">
        <f t="shared" si="17"/>
        <v>3027.1114247674777</v>
      </c>
      <c r="M37" s="179">
        <f t="shared" si="17"/>
        <v>2104.3835960692113</v>
      </c>
      <c r="N37" s="179">
        <f t="shared" si="17"/>
        <v>788.40566321549056</v>
      </c>
      <c r="O37" s="179">
        <f t="shared" si="17"/>
        <v>524.21637092443893</v>
      </c>
      <c r="P37" s="181">
        <f>SUM(P34:P36)</f>
        <v>1279.5779226816685</v>
      </c>
    </row>
    <row r="38" spans="1:16" ht="15" customHeight="1">
      <c r="A38" s="85">
        <f>MAX($A$4:A37)+1</f>
        <v>34</v>
      </c>
      <c r="B38" s="191" t="s">
        <v>40</v>
      </c>
      <c r="C38" s="192"/>
      <c r="D38" s="192"/>
      <c r="E38" s="192"/>
      <c r="F38" s="192"/>
      <c r="G38" s="174"/>
      <c r="H38" s="174"/>
      <c r="I38" s="193"/>
      <c r="J38" s="194"/>
      <c r="K38" s="194"/>
      <c r="L38" s="194"/>
      <c r="M38" s="194"/>
      <c r="N38" s="194"/>
      <c r="O38" s="194"/>
      <c r="P38" s="195"/>
    </row>
    <row r="39" spans="1:16" ht="15" customHeight="1">
      <c r="A39" s="85">
        <f>MAX($A$4:A38)+1</f>
        <v>35</v>
      </c>
      <c r="B39" s="197" t="s">
        <v>448</v>
      </c>
      <c r="C39" s="175" t="s">
        <v>27</v>
      </c>
      <c r="D39" s="175"/>
      <c r="E39" s="175"/>
      <c r="F39" s="175"/>
      <c r="G39" s="175"/>
      <c r="H39" s="175"/>
      <c r="I39" s="176"/>
      <c r="J39" s="177"/>
      <c r="K39" s="177"/>
      <c r="L39" s="177"/>
      <c r="M39" s="177"/>
      <c r="N39" s="177"/>
      <c r="O39" s="177"/>
      <c r="P39" s="184"/>
    </row>
    <row r="40" spans="1:16" ht="15" customHeight="1">
      <c r="A40" s="85">
        <f>MAX($A$4:A39)+1</f>
        <v>36</v>
      </c>
      <c r="B40" s="173" t="s">
        <v>75</v>
      </c>
      <c r="C40" s="189" t="s">
        <v>77</v>
      </c>
      <c r="D40" s="178">
        <f>D43*D$5</f>
        <v>1564.438356164382</v>
      </c>
      <c r="E40" s="178">
        <f t="shared" ref="E40:O40" si="18">E43*E$5</f>
        <v>2268.4931506849293</v>
      </c>
      <c r="F40" s="178">
        <f t="shared" si="18"/>
        <v>117.20547945205467</v>
      </c>
      <c r="G40" s="178">
        <f t="shared" si="18"/>
        <v>76.438356164383478</v>
      </c>
      <c r="H40" s="178">
        <f t="shared" si="18"/>
        <v>18.41095890410957</v>
      </c>
      <c r="I40" s="178">
        <f t="shared" si="18"/>
        <v>163.06849315068476</v>
      </c>
      <c r="J40" s="178">
        <f t="shared" si="18"/>
        <v>93.69863013698621</v>
      </c>
      <c r="K40" s="178">
        <f t="shared" si="18"/>
        <v>101.91780821917799</v>
      </c>
      <c r="L40" s="178">
        <f t="shared" si="18"/>
        <v>221.91780821917786</v>
      </c>
      <c r="M40" s="178">
        <f t="shared" si="18"/>
        <v>275.17808219178056</v>
      </c>
      <c r="N40" s="178">
        <f t="shared" si="18"/>
        <v>86.630136986301281</v>
      </c>
      <c r="O40" s="178">
        <f t="shared" si="18"/>
        <v>103.56164383561634</v>
      </c>
      <c r="P40" s="182">
        <f>SUM(D40:O40)</f>
        <v>5090.9589041095842</v>
      </c>
    </row>
    <row r="41" spans="1:16" ht="15" customHeight="1">
      <c r="A41" s="85">
        <f>MAX($A$4:A40)+1</f>
        <v>37</v>
      </c>
      <c r="B41" s="173" t="s">
        <v>76</v>
      </c>
      <c r="C41" s="189" t="s">
        <v>77</v>
      </c>
      <c r="D41" s="178">
        <f>D44*D$5</f>
        <v>586.02722368686455</v>
      </c>
      <c r="E41" s="178">
        <f t="shared" ref="E41:O41" si="19">E44*E$5</f>
        <v>882.73946457179886</v>
      </c>
      <c r="F41" s="178">
        <f t="shared" si="19"/>
        <v>86.630111327623453</v>
      </c>
      <c r="G41" s="178">
        <f t="shared" si="19"/>
        <v>188.54788936012164</v>
      </c>
      <c r="H41" s="178">
        <f t="shared" si="19"/>
        <v>294.57525521651087</v>
      </c>
      <c r="I41" s="178">
        <f t="shared" si="19"/>
        <v>285.36977849099492</v>
      </c>
      <c r="J41" s="178">
        <f t="shared" si="19"/>
        <v>266.30129098814041</v>
      </c>
      <c r="K41" s="178">
        <f t="shared" si="19"/>
        <v>315.94511190074439</v>
      </c>
      <c r="L41" s="178">
        <f t="shared" si="19"/>
        <v>305.75333409749459</v>
      </c>
      <c r="M41" s="178">
        <f t="shared" si="19"/>
        <v>473.91766785111656</v>
      </c>
      <c r="N41" s="178">
        <f t="shared" si="19"/>
        <v>438.24644553974218</v>
      </c>
      <c r="O41" s="178">
        <f t="shared" si="19"/>
        <v>739.72580830038999</v>
      </c>
      <c r="P41" s="182">
        <f>SUM(D41:O41)</f>
        <v>4863.7793813315429</v>
      </c>
    </row>
    <row r="42" spans="1:16" ht="15" customHeight="1">
      <c r="A42" s="85">
        <f>MAX($A$4:A41)+1</f>
        <v>38</v>
      </c>
      <c r="B42" s="173" t="s">
        <v>38</v>
      </c>
      <c r="C42" s="189" t="s">
        <v>79</v>
      </c>
      <c r="D42" s="178">
        <f>D45*D$5*24</f>
        <v>51244.273972602743</v>
      </c>
      <c r="E42" s="178">
        <f t="shared" ref="E42:N42" si="20">E45*E$5*24</f>
        <v>75747.945205479453</v>
      </c>
      <c r="F42" s="178">
        <f t="shared" si="20"/>
        <v>71644.142465753423</v>
      </c>
      <c r="G42" s="178">
        <f t="shared" si="20"/>
        <v>98403.682191780827</v>
      </c>
      <c r="H42" s="178">
        <f t="shared" si="20"/>
        <v>111769.24931506847</v>
      </c>
      <c r="I42" s="178">
        <f t="shared" si="20"/>
        <v>80278.619178082183</v>
      </c>
      <c r="J42" s="178">
        <f t="shared" si="20"/>
        <v>124226.63013698631</v>
      </c>
      <c r="K42" s="178">
        <f t="shared" si="20"/>
        <v>130984.76712328766</v>
      </c>
      <c r="L42" s="178">
        <f t="shared" si="20"/>
        <v>169154.63013698632</v>
      </c>
      <c r="M42" s="178">
        <f t="shared" si="20"/>
        <v>332512.96438356169</v>
      </c>
      <c r="N42" s="178">
        <f t="shared" si="20"/>
        <v>331705.77534246579</v>
      </c>
      <c r="O42" s="178">
        <f>O45*O$5*24</f>
        <v>278468.38356164383</v>
      </c>
      <c r="P42" s="182">
        <f>SUM(D42:O42)</f>
        <v>1856141.0630136987</v>
      </c>
    </row>
    <row r="43" spans="1:16" ht="15" customHeight="1">
      <c r="A43" s="85">
        <f>MAX($A$4:A42)+1</f>
        <v>39</v>
      </c>
      <c r="B43" s="173" t="s">
        <v>75</v>
      </c>
      <c r="C43" s="189" t="s">
        <v>131</v>
      </c>
      <c r="D43" s="178">
        <v>50.465753424657485</v>
      </c>
      <c r="E43" s="178">
        <v>75.616438356164309</v>
      </c>
      <c r="F43" s="178">
        <v>3.7808219178082152</v>
      </c>
      <c r="G43" s="178">
        <v>2.4657534246575317</v>
      </c>
      <c r="H43" s="178">
        <v>0.65753424657534176</v>
      </c>
      <c r="I43" s="178">
        <v>5.2602739726027341</v>
      </c>
      <c r="J43" s="178">
        <v>3.1232876712328737</v>
      </c>
      <c r="K43" s="178">
        <v>3.287671232876709</v>
      </c>
      <c r="L43" s="178">
        <v>7.397260273972595</v>
      </c>
      <c r="M43" s="178">
        <v>8.8767123287671144</v>
      </c>
      <c r="N43" s="178">
        <v>2.7945205479452024</v>
      </c>
      <c r="O43" s="178">
        <v>3.4520547945205444</v>
      </c>
      <c r="P43" s="182">
        <f>AVERAGE(D43:O43)</f>
        <v>13.931506849315056</v>
      </c>
    </row>
    <row r="44" spans="1:16" ht="15" customHeight="1">
      <c r="A44" s="85">
        <f>MAX($A$4:A43)+1</f>
        <v>40</v>
      </c>
      <c r="B44" s="173" t="s">
        <v>76</v>
      </c>
      <c r="C44" s="189" t="s">
        <v>131</v>
      </c>
      <c r="D44" s="178">
        <v>18.904103989898857</v>
      </c>
      <c r="E44" s="178">
        <v>29.424648819059961</v>
      </c>
      <c r="F44" s="178">
        <v>2.7945197202459178</v>
      </c>
      <c r="G44" s="178">
        <v>6.0821899793587626</v>
      </c>
      <c r="H44" s="178">
        <v>10.520544829161103</v>
      </c>
      <c r="I44" s="178">
        <v>9.2054767255159646</v>
      </c>
      <c r="J44" s="178">
        <v>8.8767096996046799</v>
      </c>
      <c r="K44" s="178">
        <v>10.191777803249819</v>
      </c>
      <c r="L44" s="178">
        <v>10.191777803249819</v>
      </c>
      <c r="M44" s="178">
        <v>15.287666704874727</v>
      </c>
      <c r="N44" s="178">
        <v>14.136982114185232</v>
      </c>
      <c r="O44" s="178">
        <v>24.657526943346333</v>
      </c>
      <c r="P44" s="182">
        <f>AVERAGE(D44:O44)</f>
        <v>13.356160427645932</v>
      </c>
    </row>
    <row r="45" spans="1:16" ht="15" customHeight="1">
      <c r="A45" s="85">
        <f>MAX($A$4:A44)+1</f>
        <v>41</v>
      </c>
      <c r="B45" s="173" t="s">
        <v>38</v>
      </c>
      <c r="C45" s="189" t="s">
        <v>131</v>
      </c>
      <c r="D45" s="178">
        <v>68.876712328767127</v>
      </c>
      <c r="E45" s="178">
        <v>105.2054794520548</v>
      </c>
      <c r="F45" s="178">
        <v>96.295890410958904</v>
      </c>
      <c r="G45" s="178">
        <v>132.26301369863015</v>
      </c>
      <c r="H45" s="178">
        <v>166.32328767123286</v>
      </c>
      <c r="I45" s="178">
        <v>107.9013698630137</v>
      </c>
      <c r="J45" s="178">
        <v>172.53698630136986</v>
      </c>
      <c r="K45" s="178">
        <v>176.05479452054794</v>
      </c>
      <c r="L45" s="178">
        <v>234.93698630136987</v>
      </c>
      <c r="M45" s="178">
        <v>446.92602739726033</v>
      </c>
      <c r="N45" s="178">
        <v>445.841095890411</v>
      </c>
      <c r="O45" s="178">
        <v>386.76164383561644</v>
      </c>
      <c r="P45" s="182">
        <f>AVERAGE(D45:O45)</f>
        <v>211.66027397260271</v>
      </c>
    </row>
    <row r="46" spans="1:16" ht="15" customHeight="1">
      <c r="A46" s="85">
        <f>MAX($A$4:A45)+1</f>
        <v>42</v>
      </c>
      <c r="B46" s="199" t="s">
        <v>469</v>
      </c>
      <c r="C46" s="189" t="s">
        <v>131</v>
      </c>
      <c r="D46" s="179">
        <f t="shared" ref="D46:O46" si="21">SUM(D43:D45)</f>
        <v>138.24656974332348</v>
      </c>
      <c r="E46" s="179">
        <f t="shared" si="21"/>
        <v>210.24656662727909</v>
      </c>
      <c r="F46" s="179">
        <f t="shared" si="21"/>
        <v>102.87123204901303</v>
      </c>
      <c r="G46" s="179">
        <f t="shared" si="21"/>
        <v>140.81095710264646</v>
      </c>
      <c r="H46" s="179">
        <f t="shared" si="21"/>
        <v>177.5013667469693</v>
      </c>
      <c r="I46" s="179">
        <f t="shared" si="21"/>
        <v>122.3671205611324</v>
      </c>
      <c r="J46" s="179">
        <f t="shared" si="21"/>
        <v>184.53698367220741</v>
      </c>
      <c r="K46" s="179">
        <f t="shared" si="21"/>
        <v>189.53424355667448</v>
      </c>
      <c r="L46" s="179">
        <f t="shared" si="21"/>
        <v>252.5260243785923</v>
      </c>
      <c r="M46" s="179">
        <f t="shared" si="21"/>
        <v>471.09040643090219</v>
      </c>
      <c r="N46" s="179">
        <f t="shared" si="21"/>
        <v>462.77259855254141</v>
      </c>
      <c r="O46" s="179">
        <f t="shared" si="21"/>
        <v>414.87122557348334</v>
      </c>
      <c r="P46" s="183">
        <f>SUM(P43:P45)</f>
        <v>238.94794124956371</v>
      </c>
    </row>
    <row r="47" spans="1:16" ht="15" customHeight="1">
      <c r="A47" s="85">
        <f>MAX($A$4:A46)+1</f>
        <v>43</v>
      </c>
      <c r="B47" s="197" t="s">
        <v>449</v>
      </c>
      <c r="C47" s="175" t="s">
        <v>27</v>
      </c>
      <c r="D47" s="201"/>
      <c r="E47" s="201"/>
      <c r="F47" s="201"/>
      <c r="G47" s="201"/>
      <c r="H47" s="201"/>
      <c r="I47" s="202"/>
      <c r="J47" s="203"/>
      <c r="K47" s="203"/>
      <c r="L47" s="203"/>
      <c r="M47" s="203"/>
      <c r="N47" s="203"/>
      <c r="O47" s="203"/>
      <c r="P47" s="184"/>
    </row>
    <row r="48" spans="1:16" ht="15" customHeight="1">
      <c r="A48" s="85">
        <f>MAX($A$4:A47)+1</f>
        <v>44</v>
      </c>
      <c r="B48" s="173" t="s">
        <v>75</v>
      </c>
      <c r="C48" s="189" t="s">
        <v>77</v>
      </c>
      <c r="D48" s="178">
        <f>D51*D$6</f>
        <v>1014.0821917808208</v>
      </c>
      <c r="E48" s="178">
        <f t="shared" ref="E48:O48" si="22">E51*E$6</f>
        <v>2963.8356164383531</v>
      </c>
      <c r="F48" s="178">
        <f t="shared" si="22"/>
        <v>122.30136986301356</v>
      </c>
      <c r="G48" s="178">
        <f t="shared" si="22"/>
        <v>76.438356164383478</v>
      </c>
      <c r="H48" s="178">
        <f t="shared" si="22"/>
        <v>18.41095890410957</v>
      </c>
      <c r="I48" s="178">
        <f t="shared" si="22"/>
        <v>168.16438356164366</v>
      </c>
      <c r="J48" s="178">
        <f t="shared" si="22"/>
        <v>93.69863013698621</v>
      </c>
      <c r="K48" s="178">
        <f t="shared" si="22"/>
        <v>107.01369863013687</v>
      </c>
      <c r="L48" s="178">
        <f t="shared" si="22"/>
        <v>231.78082191780797</v>
      </c>
      <c r="M48" s="178">
        <f t="shared" si="22"/>
        <v>331.23287671232845</v>
      </c>
      <c r="N48" s="178">
        <f t="shared" si="22"/>
        <v>86.630136986301281</v>
      </c>
      <c r="O48" s="178">
        <f t="shared" si="22"/>
        <v>98.630136986301267</v>
      </c>
      <c r="P48" s="185">
        <f>SUM(D48:O48)</f>
        <v>5312.2191780821859</v>
      </c>
    </row>
    <row r="49" spans="1:16" ht="15" customHeight="1">
      <c r="A49" s="85">
        <f>MAX($A$4:A48)+1</f>
        <v>45</v>
      </c>
      <c r="B49" s="173" t="s">
        <v>76</v>
      </c>
      <c r="C49" s="189" t="s">
        <v>77</v>
      </c>
      <c r="D49" s="178">
        <f>D52*D$6</f>
        <v>387.28755652349309</v>
      </c>
      <c r="E49" s="178">
        <f t="shared" ref="E49:O49" si="23">E52*E$6</f>
        <v>1163.835271725947</v>
      </c>
      <c r="F49" s="178">
        <f t="shared" si="23"/>
        <v>96.821889130873274</v>
      </c>
      <c r="G49" s="178">
        <f t="shared" si="23"/>
        <v>203.83555606499638</v>
      </c>
      <c r="H49" s="178">
        <f t="shared" si="23"/>
        <v>308.38347030478485</v>
      </c>
      <c r="I49" s="178">
        <f t="shared" si="23"/>
        <v>300.65744519586963</v>
      </c>
      <c r="J49" s="178">
        <f t="shared" si="23"/>
        <v>276.16430176547897</v>
      </c>
      <c r="K49" s="178">
        <f t="shared" si="23"/>
        <v>331.2327786056191</v>
      </c>
      <c r="L49" s="178">
        <f t="shared" si="23"/>
        <v>320.54785026350237</v>
      </c>
      <c r="M49" s="178">
        <f t="shared" si="23"/>
        <v>565.64366808036493</v>
      </c>
      <c r="N49" s="178">
        <f t="shared" si="23"/>
        <v>458.63000114624185</v>
      </c>
      <c r="O49" s="178">
        <f t="shared" si="23"/>
        <v>660.82172208168174</v>
      </c>
      <c r="P49" s="185">
        <f>SUM(D49:O49)</f>
        <v>5073.8615108888525</v>
      </c>
    </row>
    <row r="50" spans="1:16" ht="15" customHeight="1">
      <c r="A50" s="85">
        <f>MAX($A$4:A49)+1</f>
        <v>46</v>
      </c>
      <c r="B50" s="173" t="s">
        <v>38</v>
      </c>
      <c r="C50" s="189" t="s">
        <v>79</v>
      </c>
      <c r="D50" s="178">
        <f>D53*D$6*24</f>
        <v>33265.972602739726</v>
      </c>
      <c r="E50" s="178">
        <f t="shared" ref="E50:O50" si="24">E53*E$6*24</f>
        <v>99111.452054794514</v>
      </c>
      <c r="F50" s="178">
        <f t="shared" si="24"/>
        <v>75068.5808219178</v>
      </c>
      <c r="G50" s="178">
        <f t="shared" si="24"/>
        <v>103026.67397260273</v>
      </c>
      <c r="H50" s="178">
        <f t="shared" si="24"/>
        <v>117093.69863013698</v>
      </c>
      <c r="I50" s="178">
        <f t="shared" si="24"/>
        <v>84118.882191780809</v>
      </c>
      <c r="J50" s="178">
        <f t="shared" si="24"/>
        <v>130097.09589041094</v>
      </c>
      <c r="K50" s="178">
        <f t="shared" si="24"/>
        <v>137197.67671232877</v>
      </c>
      <c r="L50" s="178">
        <f t="shared" si="24"/>
        <v>177202.84931506848</v>
      </c>
      <c r="M50" s="178">
        <f t="shared" si="24"/>
        <v>393883.79178082186</v>
      </c>
      <c r="N50" s="178">
        <f t="shared" si="24"/>
        <v>347458.19178082189</v>
      </c>
      <c r="O50" s="178">
        <f t="shared" si="24"/>
        <v>256690.84931506857</v>
      </c>
      <c r="P50" s="185">
        <f>SUM(D50:O50)</f>
        <v>1954215.715068493</v>
      </c>
    </row>
    <row r="51" spans="1:16" ht="15" customHeight="1">
      <c r="A51" s="85">
        <f>MAX($A$4:A50)+1</f>
        <v>47</v>
      </c>
      <c r="B51" s="173" t="s">
        <v>75</v>
      </c>
      <c r="C51" s="189" t="s">
        <v>131</v>
      </c>
      <c r="D51" s="178">
        <v>32.712328767123253</v>
      </c>
      <c r="E51" s="178">
        <v>98.794520547945098</v>
      </c>
      <c r="F51" s="178">
        <v>3.9452054794520506</v>
      </c>
      <c r="G51" s="178">
        <v>2.4657534246575317</v>
      </c>
      <c r="H51" s="178">
        <v>0.65753424657534176</v>
      </c>
      <c r="I51" s="178">
        <v>5.4246575342465695</v>
      </c>
      <c r="J51" s="178">
        <v>3.1232876712328737</v>
      </c>
      <c r="K51" s="178">
        <v>3.4520547945205444</v>
      </c>
      <c r="L51" s="178">
        <v>7.7260273972602658</v>
      </c>
      <c r="M51" s="178">
        <v>10.684931506849304</v>
      </c>
      <c r="N51" s="178">
        <v>2.7945205479452024</v>
      </c>
      <c r="O51" s="178">
        <v>3.287671232876709</v>
      </c>
      <c r="P51" s="185">
        <f>AVERAGE(D51:O51)</f>
        <v>14.589041095890392</v>
      </c>
    </row>
    <row r="52" spans="1:16" ht="15" customHeight="1">
      <c r="A52" s="85">
        <f>MAX($A$4:A51)+1</f>
        <v>48</v>
      </c>
      <c r="B52" s="173" t="s">
        <v>76</v>
      </c>
      <c r="C52" s="189" t="s">
        <v>131</v>
      </c>
      <c r="D52" s="178">
        <v>12.49314698462881</v>
      </c>
      <c r="E52" s="178">
        <v>38.794509057531563</v>
      </c>
      <c r="F52" s="178">
        <v>3.1232867461572025</v>
      </c>
      <c r="G52" s="178">
        <v>6.5753405182256897</v>
      </c>
      <c r="H52" s="178">
        <v>11.01369536802803</v>
      </c>
      <c r="I52" s="178">
        <v>9.6986272643828908</v>
      </c>
      <c r="J52" s="178">
        <v>9.2054767255159646</v>
      </c>
      <c r="K52" s="178">
        <v>10.684928342116745</v>
      </c>
      <c r="L52" s="178">
        <v>10.684928342116745</v>
      </c>
      <c r="M52" s="178">
        <v>18.246569938076288</v>
      </c>
      <c r="N52" s="178">
        <v>14.794516166007801</v>
      </c>
      <c r="O52" s="178">
        <v>22.027390736056059</v>
      </c>
      <c r="P52" s="185">
        <f>AVERAGE(D52:O52)</f>
        <v>13.945201349070317</v>
      </c>
    </row>
    <row r="53" spans="1:16" ht="15" customHeight="1">
      <c r="A53" s="85">
        <f>MAX($A$4:A52)+1</f>
        <v>49</v>
      </c>
      <c r="B53" s="173" t="s">
        <v>38</v>
      </c>
      <c r="C53" s="189" t="s">
        <v>131</v>
      </c>
      <c r="D53" s="178">
        <v>44.712328767123289</v>
      </c>
      <c r="E53" s="178">
        <v>137.65479452054794</v>
      </c>
      <c r="F53" s="178">
        <v>100.8986301369863</v>
      </c>
      <c r="G53" s="178">
        <v>138.47671232876712</v>
      </c>
      <c r="H53" s="178">
        <v>174.24657534246575</v>
      </c>
      <c r="I53" s="178">
        <v>113.06301369863013</v>
      </c>
      <c r="J53" s="178">
        <v>180.6904109589041</v>
      </c>
      <c r="K53" s="178">
        <v>184.40547945205478</v>
      </c>
      <c r="L53" s="178">
        <v>246.11506849315069</v>
      </c>
      <c r="M53" s="178">
        <v>529.41369863013699</v>
      </c>
      <c r="N53" s="178">
        <v>467.01369863013696</v>
      </c>
      <c r="O53" s="178">
        <v>356.51506849315075</v>
      </c>
      <c r="P53" s="185">
        <f>AVERAGE(D53:O53)</f>
        <v>222.76712328767121</v>
      </c>
    </row>
    <row r="54" spans="1:16" ht="15" customHeight="1">
      <c r="A54" s="85">
        <f>MAX($A$4:A53)+1</f>
        <v>50</v>
      </c>
      <c r="B54" s="199" t="s">
        <v>470</v>
      </c>
      <c r="C54" s="189" t="s">
        <v>131</v>
      </c>
      <c r="D54" s="179">
        <f t="shared" ref="D54:O54" si="25">SUM(D51:D53)</f>
        <v>89.917804518875357</v>
      </c>
      <c r="E54" s="179">
        <f t="shared" si="25"/>
        <v>275.24382412602461</v>
      </c>
      <c r="F54" s="179">
        <f t="shared" si="25"/>
        <v>107.96712236259555</v>
      </c>
      <c r="G54" s="179">
        <f t="shared" si="25"/>
        <v>147.51780627165033</v>
      </c>
      <c r="H54" s="179">
        <f t="shared" si="25"/>
        <v>185.91780495706911</v>
      </c>
      <c r="I54" s="179">
        <f t="shared" si="25"/>
        <v>128.1862984972596</v>
      </c>
      <c r="J54" s="179">
        <f t="shared" si="25"/>
        <v>193.01917535565292</v>
      </c>
      <c r="K54" s="179">
        <f t="shared" si="25"/>
        <v>198.54246258869208</v>
      </c>
      <c r="L54" s="179">
        <f t="shared" si="25"/>
        <v>264.52602423252767</v>
      </c>
      <c r="M54" s="179">
        <f t="shared" si="25"/>
        <v>558.34520007506262</v>
      </c>
      <c r="N54" s="179">
        <f t="shared" si="25"/>
        <v>484.60273534408998</v>
      </c>
      <c r="O54" s="179">
        <f t="shared" si="25"/>
        <v>381.8301304620835</v>
      </c>
      <c r="P54" s="181">
        <f>SUM(P51:P53)</f>
        <v>251.30136573263192</v>
      </c>
    </row>
    <row r="55" spans="1:16" ht="15" customHeight="1">
      <c r="A55" s="85">
        <f>MAX($A$4:A54)+1</f>
        <v>51</v>
      </c>
      <c r="B55" s="197" t="s">
        <v>450</v>
      </c>
      <c r="C55" s="175" t="s">
        <v>27</v>
      </c>
      <c r="D55" s="201"/>
      <c r="E55" s="201"/>
      <c r="F55" s="201"/>
      <c r="G55" s="201"/>
      <c r="H55" s="201"/>
      <c r="I55" s="202"/>
      <c r="J55" s="203"/>
      <c r="K55" s="203"/>
      <c r="L55" s="203"/>
      <c r="M55" s="203"/>
      <c r="N55" s="203"/>
      <c r="O55" s="203"/>
      <c r="P55" s="184"/>
    </row>
    <row r="56" spans="1:16" ht="15" customHeight="1">
      <c r="A56" s="85">
        <f>MAX($A$4:A55)+1</f>
        <v>52</v>
      </c>
      <c r="B56" s="173" t="s">
        <v>75</v>
      </c>
      <c r="C56" s="189" t="s">
        <v>77</v>
      </c>
      <c r="D56" s="178">
        <f>D59*D$7</f>
        <v>1681.6438356164365</v>
      </c>
      <c r="E56" s="178">
        <f t="shared" ref="E56:O56" si="26">E59*E$7</f>
        <v>2431.2328767123263</v>
      </c>
      <c r="F56" s="178">
        <f t="shared" si="26"/>
        <v>122.30136986301356</v>
      </c>
      <c r="G56" s="178">
        <f t="shared" si="26"/>
        <v>76.438356164383478</v>
      </c>
      <c r="H56" s="178">
        <f t="shared" si="26"/>
        <v>19.068493150684912</v>
      </c>
      <c r="I56" s="178">
        <f t="shared" si="26"/>
        <v>168.16438356164366</v>
      </c>
      <c r="J56" s="178">
        <f t="shared" si="26"/>
        <v>98.630136986301267</v>
      </c>
      <c r="K56" s="178">
        <f t="shared" si="26"/>
        <v>107.01369863013687</v>
      </c>
      <c r="L56" s="178">
        <f t="shared" si="26"/>
        <v>236.71232876712304</v>
      </c>
      <c r="M56" s="178">
        <f t="shared" si="26"/>
        <v>295.56164383561611</v>
      </c>
      <c r="N56" s="178">
        <f t="shared" si="26"/>
        <v>86.630136986301281</v>
      </c>
      <c r="O56" s="178">
        <f t="shared" si="26"/>
        <v>108.49315068493139</v>
      </c>
      <c r="P56" s="185">
        <f>SUM(D56:O56)</f>
        <v>5431.8904109588984</v>
      </c>
    </row>
    <row r="57" spans="1:16" ht="15" customHeight="1">
      <c r="A57" s="85">
        <f>MAX($A$4:A56)+1</f>
        <v>53</v>
      </c>
      <c r="B57" s="173" t="s">
        <v>76</v>
      </c>
      <c r="C57" s="189" t="s">
        <v>77</v>
      </c>
      <c r="D57" s="178">
        <f>D60*D$7</f>
        <v>631.89022380148879</v>
      </c>
      <c r="E57" s="178">
        <f t="shared" ref="E57:O57" si="27">E60*E$7</f>
        <v>951.78054001316855</v>
      </c>
      <c r="F57" s="178">
        <f t="shared" si="27"/>
        <v>96.821889130873274</v>
      </c>
      <c r="G57" s="178">
        <f t="shared" si="27"/>
        <v>203.83555606499638</v>
      </c>
      <c r="H57" s="178">
        <f t="shared" si="27"/>
        <v>328.93140942424009</v>
      </c>
      <c r="I57" s="178">
        <f t="shared" si="27"/>
        <v>310.84922299911943</v>
      </c>
      <c r="J57" s="178">
        <f t="shared" si="27"/>
        <v>286.02731254281747</v>
      </c>
      <c r="K57" s="178">
        <f t="shared" si="27"/>
        <v>331.2327786056191</v>
      </c>
      <c r="L57" s="178">
        <f t="shared" si="27"/>
        <v>325.47935565217165</v>
      </c>
      <c r="M57" s="178">
        <f t="shared" si="27"/>
        <v>509.58889016249094</v>
      </c>
      <c r="N57" s="178">
        <f t="shared" si="27"/>
        <v>463.7258900478667</v>
      </c>
      <c r="O57" s="178">
        <f t="shared" si="27"/>
        <v>784.10935679841339</v>
      </c>
      <c r="P57" s="185">
        <f>SUM(D57:O57)</f>
        <v>5224.2724252432654</v>
      </c>
    </row>
    <row r="58" spans="1:16" ht="15" customHeight="1">
      <c r="A58" s="85">
        <f>MAX($A$4:A57)+1</f>
        <v>54</v>
      </c>
      <c r="B58" s="173" t="s">
        <v>38</v>
      </c>
      <c r="C58" s="189" t="s">
        <v>79</v>
      </c>
      <c r="D58" s="178">
        <f>D61*D$7*24</f>
        <v>54962.235616438353</v>
      </c>
      <c r="E58" s="178">
        <f t="shared" ref="E58:O58" si="28">E61*E$7*24</f>
        <v>81216</v>
      </c>
      <c r="F58" s="178">
        <f t="shared" si="28"/>
        <v>76854.180821917791</v>
      </c>
      <c r="G58" s="178">
        <f t="shared" si="28"/>
        <v>105448.24109589041</v>
      </c>
      <c r="H58" s="178">
        <f t="shared" si="28"/>
        <v>124135.89041095892</v>
      </c>
      <c r="I58" s="178">
        <f t="shared" si="28"/>
        <v>86100.164383561641</v>
      </c>
      <c r="J58" s="178">
        <f t="shared" si="28"/>
        <v>133150.68493150684</v>
      </c>
      <c r="K58" s="178">
        <f t="shared" si="28"/>
        <v>140426.43287671235</v>
      </c>
      <c r="L58" s="178">
        <f t="shared" si="28"/>
        <v>181392.65753424657</v>
      </c>
      <c r="M58" s="178">
        <f t="shared" si="28"/>
        <v>356532.95342465752</v>
      </c>
      <c r="N58" s="178">
        <f t="shared" si="28"/>
        <v>355627.92328767123</v>
      </c>
      <c r="O58" s="178">
        <f t="shared" si="28"/>
        <v>298612.60273972602</v>
      </c>
      <c r="P58" s="185">
        <f>SUM(D58:O58)</f>
        <v>1994459.9671232877</v>
      </c>
    </row>
    <row r="59" spans="1:16" ht="15" customHeight="1">
      <c r="A59" s="85">
        <f>MAX($A$4:A58)+1</f>
        <v>55</v>
      </c>
      <c r="B59" s="173" t="s">
        <v>75</v>
      </c>
      <c r="C59" s="189" t="s">
        <v>131</v>
      </c>
      <c r="D59" s="178">
        <v>54.246575342465697</v>
      </c>
      <c r="E59" s="178">
        <v>81.041095890410872</v>
      </c>
      <c r="F59" s="178">
        <v>3.9452054794520506</v>
      </c>
      <c r="G59" s="178">
        <v>2.4657534246575317</v>
      </c>
      <c r="H59" s="178">
        <v>0.65753424657534176</v>
      </c>
      <c r="I59" s="178">
        <v>5.4246575342465695</v>
      </c>
      <c r="J59" s="178">
        <v>3.287671232876709</v>
      </c>
      <c r="K59" s="178">
        <v>3.4520547945205444</v>
      </c>
      <c r="L59" s="178">
        <v>7.8904109589041012</v>
      </c>
      <c r="M59" s="178">
        <v>9.5342465753424559</v>
      </c>
      <c r="N59" s="178">
        <v>2.7945205479452024</v>
      </c>
      <c r="O59" s="178">
        <v>3.6164383561643798</v>
      </c>
      <c r="P59" s="185">
        <f>AVERAGE(D59:O59)</f>
        <v>14.86301369863012</v>
      </c>
    </row>
    <row r="60" spans="1:16" ht="15" customHeight="1">
      <c r="A60" s="85">
        <f>MAX($A$4:A59)+1</f>
        <v>56</v>
      </c>
      <c r="B60" s="173" t="s">
        <v>76</v>
      </c>
      <c r="C60" s="189" t="s">
        <v>131</v>
      </c>
      <c r="D60" s="178">
        <v>20.383555606499637</v>
      </c>
      <c r="E60" s="178">
        <v>31.726018000438952</v>
      </c>
      <c r="F60" s="178">
        <v>3.1232867461572025</v>
      </c>
      <c r="G60" s="178">
        <v>6.5753405182256897</v>
      </c>
      <c r="H60" s="178">
        <v>11.342462393939314</v>
      </c>
      <c r="I60" s="178">
        <v>10.027394290294176</v>
      </c>
      <c r="J60" s="178">
        <v>9.5342437514272493</v>
      </c>
      <c r="K60" s="178">
        <v>10.684928342116745</v>
      </c>
      <c r="L60" s="178">
        <v>10.849311855072388</v>
      </c>
      <c r="M60" s="178">
        <v>16.438351295564225</v>
      </c>
      <c r="N60" s="178">
        <v>14.958899678963443</v>
      </c>
      <c r="O60" s="178">
        <v>26.136978559947114</v>
      </c>
      <c r="P60" s="185">
        <f>AVERAGE(D60:O60)</f>
        <v>14.315064253220513</v>
      </c>
    </row>
    <row r="61" spans="1:16" ht="15" customHeight="1">
      <c r="A61" s="85">
        <f>MAX($A$4:A60)+1</f>
        <v>57</v>
      </c>
      <c r="B61" s="173" t="s">
        <v>38</v>
      </c>
      <c r="C61" s="189" t="s">
        <v>131</v>
      </c>
      <c r="D61" s="178">
        <v>73.873972602739727</v>
      </c>
      <c r="E61" s="178">
        <v>112.8</v>
      </c>
      <c r="F61" s="178">
        <v>103.29863013698629</v>
      </c>
      <c r="G61" s="178">
        <v>141.73150684931508</v>
      </c>
      <c r="H61" s="178">
        <v>178.35616438356166</v>
      </c>
      <c r="I61" s="178">
        <v>115.72602739726027</v>
      </c>
      <c r="J61" s="178">
        <v>184.93150684931507</v>
      </c>
      <c r="K61" s="178">
        <v>188.74520547945207</v>
      </c>
      <c r="L61" s="178">
        <v>251.93424657534246</v>
      </c>
      <c r="M61" s="178">
        <v>479.21095890410959</v>
      </c>
      <c r="N61" s="178">
        <v>477.99452054794523</v>
      </c>
      <c r="O61" s="178">
        <v>414.73972602739724</v>
      </c>
      <c r="P61" s="185">
        <f>AVERAGE(D61:O61)</f>
        <v>226.94520547945208</v>
      </c>
    </row>
    <row r="62" spans="1:16" ht="15" customHeight="1">
      <c r="A62" s="85">
        <f>MAX($A$4:A61)+1</f>
        <v>58</v>
      </c>
      <c r="B62" s="199" t="s">
        <v>471</v>
      </c>
      <c r="C62" s="189" t="s">
        <v>131</v>
      </c>
      <c r="D62" s="179">
        <f t="shared" ref="D62:N62" si="29">SUM(D59:D61)</f>
        <v>148.50410355170504</v>
      </c>
      <c r="E62" s="179">
        <f t="shared" si="29"/>
        <v>225.56711389084984</v>
      </c>
      <c r="F62" s="179">
        <f t="shared" si="29"/>
        <v>110.36712236259554</v>
      </c>
      <c r="G62" s="179">
        <f t="shared" si="29"/>
        <v>150.77260079219832</v>
      </c>
      <c r="H62" s="179">
        <f t="shared" si="29"/>
        <v>190.35616102407633</v>
      </c>
      <c r="I62" s="179">
        <f t="shared" si="29"/>
        <v>131.178079221801</v>
      </c>
      <c r="J62" s="179">
        <f t="shared" si="29"/>
        <v>197.75342183361903</v>
      </c>
      <c r="K62" s="179">
        <f t="shared" si="29"/>
        <v>202.88218861608937</v>
      </c>
      <c r="L62" s="179">
        <f t="shared" si="29"/>
        <v>270.67396938931893</v>
      </c>
      <c r="M62" s="179">
        <f t="shared" si="29"/>
        <v>505.18355677501626</v>
      </c>
      <c r="N62" s="179">
        <f t="shared" si="29"/>
        <v>495.74794077485387</v>
      </c>
      <c r="O62" s="179">
        <f>SUM(O59:O61)</f>
        <v>444.49314294350876</v>
      </c>
      <c r="P62" s="181">
        <f>SUM(P59:P61)</f>
        <v>256.1232834313027</v>
      </c>
    </row>
    <row r="63" spans="1:16" ht="15" customHeight="1">
      <c r="A63" s="85">
        <f>MAX($A$4:A62)+1</f>
        <v>59</v>
      </c>
      <c r="B63" s="197" t="s">
        <v>451</v>
      </c>
      <c r="C63" s="175"/>
      <c r="D63" s="201"/>
      <c r="E63" s="201"/>
      <c r="F63" s="201"/>
      <c r="G63" s="201"/>
      <c r="H63" s="201"/>
      <c r="I63" s="202"/>
      <c r="J63" s="203"/>
      <c r="K63" s="203"/>
      <c r="L63" s="203"/>
      <c r="M63" s="203"/>
      <c r="N63" s="203"/>
      <c r="O63" s="203"/>
      <c r="P63" s="184"/>
    </row>
    <row r="64" spans="1:16" ht="15" customHeight="1">
      <c r="A64" s="85">
        <f>MAX($A$4:A63)+1</f>
        <v>60</v>
      </c>
      <c r="B64" s="198" t="s">
        <v>75</v>
      </c>
      <c r="C64" s="196" t="s">
        <v>131</v>
      </c>
      <c r="D64" s="178">
        <f>AVERAGE(D43,D51,D59)</f>
        <v>45.80821917808214</v>
      </c>
      <c r="E64" s="178">
        <f t="shared" ref="E64:O64" si="30">AVERAGE(E43,E51,E59)</f>
        <v>85.15068493150676</v>
      </c>
      <c r="F64" s="178">
        <f t="shared" si="30"/>
        <v>3.8904109589041056</v>
      </c>
      <c r="G64" s="178">
        <f t="shared" si="30"/>
        <v>2.4657534246575317</v>
      </c>
      <c r="H64" s="178">
        <f t="shared" si="30"/>
        <v>0.65753424657534176</v>
      </c>
      <c r="I64" s="178">
        <f t="shared" si="30"/>
        <v>5.3698630136986241</v>
      </c>
      <c r="J64" s="178">
        <f>AVERAGE(J43,J51,J59)</f>
        <v>3.1780821917808186</v>
      </c>
      <c r="K64" s="178">
        <f t="shared" si="30"/>
        <v>3.397260273972599</v>
      </c>
      <c r="L64" s="178">
        <f t="shared" si="30"/>
        <v>7.6712328767123203</v>
      </c>
      <c r="M64" s="178">
        <f t="shared" si="30"/>
        <v>9.6986301369862904</v>
      </c>
      <c r="N64" s="178">
        <f t="shared" si="30"/>
        <v>2.7945205479452024</v>
      </c>
      <c r="O64" s="178">
        <f t="shared" si="30"/>
        <v>3.4520547945205444</v>
      </c>
      <c r="P64" s="180">
        <f>AVERAGE(D64:O64)</f>
        <v>14.461187214611854</v>
      </c>
    </row>
    <row r="65" spans="1:16" ht="15" customHeight="1">
      <c r="A65" s="85">
        <f>MAX($A$4:A64)+1</f>
        <v>61</v>
      </c>
      <c r="B65" s="198" t="s">
        <v>76</v>
      </c>
      <c r="C65" s="196" t="s">
        <v>131</v>
      </c>
      <c r="D65" s="178">
        <f t="shared" ref="D65:O65" si="31">AVERAGE(D44,D52,D60)</f>
        <v>17.260268860342435</v>
      </c>
      <c r="E65" s="178">
        <f t="shared" si="31"/>
        <v>33.315058625676826</v>
      </c>
      <c r="F65" s="178">
        <f t="shared" si="31"/>
        <v>3.0136977375201077</v>
      </c>
      <c r="G65" s="178">
        <f>AVERAGE(G44,G52,G60)</f>
        <v>6.4109570052700482</v>
      </c>
      <c r="H65" s="178">
        <f t="shared" si="31"/>
        <v>10.958900863709482</v>
      </c>
      <c r="I65" s="178">
        <f>AVERAGE(I44,I52,I60)</f>
        <v>9.6438327600643436</v>
      </c>
      <c r="J65" s="178">
        <f t="shared" si="31"/>
        <v>9.2054767255159646</v>
      </c>
      <c r="K65" s="178">
        <f t="shared" si="31"/>
        <v>10.520544829161102</v>
      </c>
      <c r="L65" s="178">
        <f t="shared" si="31"/>
        <v>10.575339333479649</v>
      </c>
      <c r="M65" s="178">
        <f t="shared" si="31"/>
        <v>16.657529312838413</v>
      </c>
      <c r="N65" s="178">
        <f t="shared" si="31"/>
        <v>14.630132653052158</v>
      </c>
      <c r="O65" s="178">
        <f t="shared" si="31"/>
        <v>24.2739654131165</v>
      </c>
      <c r="P65" s="180">
        <f>AVERAGE(D65:O65)</f>
        <v>13.872142009978921</v>
      </c>
    </row>
    <row r="66" spans="1:16" ht="15" customHeight="1">
      <c r="A66" s="85">
        <f>MAX($A$4:A65)+1</f>
        <v>62</v>
      </c>
      <c r="B66" s="198" t="s">
        <v>38</v>
      </c>
      <c r="C66" s="196" t="s">
        <v>131</v>
      </c>
      <c r="D66" s="178">
        <f t="shared" ref="D66:O66" si="32">AVERAGE(D45,D53,D61)</f>
        <v>62.487671232876721</v>
      </c>
      <c r="E66" s="178">
        <f t="shared" si="32"/>
        <v>118.55342465753425</v>
      </c>
      <c r="F66" s="178">
        <f t="shared" si="32"/>
        <v>100.16438356164383</v>
      </c>
      <c r="G66" s="178">
        <f t="shared" si="32"/>
        <v>137.49041095890414</v>
      </c>
      <c r="H66" s="178">
        <f t="shared" si="32"/>
        <v>172.97534246575344</v>
      </c>
      <c r="I66" s="178">
        <f t="shared" si="32"/>
        <v>112.23013698630137</v>
      </c>
      <c r="J66" s="178">
        <f t="shared" si="32"/>
        <v>179.38630136986299</v>
      </c>
      <c r="K66" s="178">
        <f t="shared" si="32"/>
        <v>183.06849315068493</v>
      </c>
      <c r="L66" s="178">
        <f>AVERAGE(L45,L53,L61)</f>
        <v>244.32876712328766</v>
      </c>
      <c r="M66" s="178">
        <f t="shared" si="32"/>
        <v>485.18356164383567</v>
      </c>
      <c r="N66" s="178">
        <f>AVERAGE(N45,N53,N61)</f>
        <v>463.61643835616445</v>
      </c>
      <c r="O66" s="178">
        <f t="shared" si="32"/>
        <v>386.00547945205477</v>
      </c>
      <c r="P66" s="180">
        <f>AVERAGE(D66:O66)</f>
        <v>220.45753424657536</v>
      </c>
    </row>
    <row r="67" spans="1:16" ht="15" customHeight="1">
      <c r="A67" s="85">
        <f>MAX($A$4:A66)+1</f>
        <v>63</v>
      </c>
      <c r="B67" s="200" t="s">
        <v>478</v>
      </c>
      <c r="C67" s="196" t="s">
        <v>131</v>
      </c>
      <c r="D67" s="179">
        <f>SUM(D64:D66)</f>
        <v>125.5561592713013</v>
      </c>
      <c r="E67" s="179">
        <f t="shared" ref="E67:N67" si="33">SUM(E64:E66)</f>
        <v>237.01916821471784</v>
      </c>
      <c r="F67" s="179">
        <f t="shared" si="33"/>
        <v>107.06849225806805</v>
      </c>
      <c r="G67" s="179">
        <f t="shared" si="33"/>
        <v>146.36712138883172</v>
      </c>
      <c r="H67" s="179">
        <f t="shared" si="33"/>
        <v>184.59177757603825</v>
      </c>
      <c r="I67" s="179">
        <f t="shared" si="33"/>
        <v>127.24383276006435</v>
      </c>
      <c r="J67" s="179">
        <f t="shared" si="33"/>
        <v>191.76986028715979</v>
      </c>
      <c r="K67" s="179">
        <f t="shared" si="33"/>
        <v>196.98629825381863</v>
      </c>
      <c r="L67" s="179">
        <f t="shared" si="33"/>
        <v>262.57533933347963</v>
      </c>
      <c r="M67" s="179">
        <f t="shared" si="33"/>
        <v>511.53972109366038</v>
      </c>
      <c r="N67" s="179">
        <f t="shared" si="33"/>
        <v>481.04109155716179</v>
      </c>
      <c r="O67" s="179">
        <f>SUM(O64:O66)</f>
        <v>413.73149965969179</v>
      </c>
      <c r="P67" s="181">
        <f>SUM(P64:P66)</f>
        <v>248.79086347116615</v>
      </c>
    </row>
    <row r="68" spans="1:16" ht="15" customHeight="1">
      <c r="A68" s="85"/>
      <c r="B68" s="200"/>
      <c r="C68" s="196"/>
      <c r="D68" s="336"/>
      <c r="E68" s="336"/>
      <c r="F68" s="336"/>
      <c r="G68" s="336"/>
      <c r="H68" s="336"/>
      <c r="I68" s="336"/>
      <c r="J68" s="336"/>
      <c r="K68" s="336"/>
      <c r="L68" s="336"/>
      <c r="M68" s="336"/>
      <c r="N68" s="336"/>
      <c r="O68" s="336"/>
      <c r="P68" s="185"/>
    </row>
    <row r="69" spans="1:16" s="205" customFormat="1" ht="15" customHeight="1">
      <c r="A69" s="204"/>
      <c r="B69" s="207" t="s">
        <v>121</v>
      </c>
      <c r="C69" s="189"/>
      <c r="D69" s="189"/>
      <c r="E69" s="189"/>
      <c r="F69" s="189"/>
      <c r="G69" s="189"/>
      <c r="H69" s="189"/>
      <c r="I69" s="189"/>
      <c r="J69" s="189"/>
      <c r="K69" s="189"/>
      <c r="L69" s="189"/>
      <c r="M69" s="189"/>
      <c r="N69" s="189"/>
      <c r="O69" s="189"/>
      <c r="P69" s="185"/>
    </row>
    <row r="70" spans="1:16" s="205" customFormat="1" ht="15" customHeight="1">
      <c r="A70" s="206"/>
      <c r="B70" s="207" t="s">
        <v>188</v>
      </c>
      <c r="C70" s="189"/>
      <c r="D70" s="189"/>
      <c r="E70" s="189"/>
      <c r="F70" s="189"/>
      <c r="G70" s="189"/>
      <c r="H70" s="189"/>
      <c r="I70" s="189"/>
      <c r="J70" s="189"/>
      <c r="K70" s="189"/>
      <c r="L70" s="189"/>
      <c r="M70" s="189"/>
      <c r="N70" s="189"/>
      <c r="O70" s="189"/>
      <c r="P70" s="185"/>
    </row>
    <row r="74" spans="1:16" ht="15">
      <c r="B74" s="118"/>
      <c r="C74" s="126"/>
      <c r="D74" s="126"/>
      <c r="E74" s="126"/>
      <c r="F74" s="126"/>
      <c r="G74" s="126"/>
      <c r="H74" s="126"/>
      <c r="I74" s="149"/>
    </row>
    <row r="75" spans="1:16" ht="15">
      <c r="B75" s="150"/>
      <c r="D75" s="151"/>
      <c r="E75" s="151"/>
      <c r="F75" s="151"/>
      <c r="G75" s="151"/>
      <c r="H75" s="151"/>
      <c r="I75" s="151"/>
      <c r="J75" s="151"/>
      <c r="K75" s="151"/>
      <c r="L75" s="151"/>
      <c r="M75" s="151"/>
      <c r="N75" s="151"/>
      <c r="O75" s="151"/>
      <c r="P75" s="116"/>
    </row>
    <row r="76" spans="1:16" ht="15">
      <c r="B76" s="150"/>
      <c r="D76" s="151"/>
      <c r="E76" s="151"/>
      <c r="F76" s="151"/>
      <c r="G76" s="151"/>
      <c r="H76" s="151"/>
      <c r="I76" s="151"/>
      <c r="J76" s="151"/>
      <c r="K76" s="151"/>
      <c r="L76" s="151"/>
      <c r="M76" s="151"/>
      <c r="N76" s="151"/>
      <c r="O76" s="151"/>
      <c r="P76" s="116"/>
    </row>
    <row r="77" spans="1:16" ht="15">
      <c r="B77" s="150"/>
      <c r="D77" s="151"/>
      <c r="E77" s="151"/>
      <c r="F77" s="151"/>
      <c r="G77" s="151"/>
      <c r="H77" s="151"/>
      <c r="I77" s="151"/>
      <c r="J77" s="151"/>
      <c r="K77" s="151"/>
      <c r="L77" s="151"/>
      <c r="M77" s="151"/>
      <c r="N77" s="151"/>
      <c r="O77" s="151"/>
      <c r="P77" s="116"/>
    </row>
    <row r="78" spans="1:16" ht="15">
      <c r="B78" s="150"/>
      <c r="D78" s="151"/>
      <c r="E78" s="151"/>
      <c r="F78" s="151"/>
      <c r="G78" s="151"/>
      <c r="H78" s="151"/>
      <c r="I78" s="151"/>
      <c r="J78" s="151"/>
      <c r="K78" s="151"/>
      <c r="L78" s="151"/>
      <c r="M78" s="151"/>
      <c r="N78" s="151"/>
      <c r="O78" s="151"/>
      <c r="P78" s="116"/>
    </row>
    <row r="79" spans="1:16" ht="15">
      <c r="B79" s="152"/>
      <c r="D79" s="151"/>
      <c r="E79" s="151"/>
      <c r="F79" s="151"/>
      <c r="G79" s="151"/>
      <c r="H79" s="151"/>
      <c r="I79" s="151"/>
      <c r="J79" s="151"/>
      <c r="K79" s="151"/>
      <c r="L79" s="151"/>
      <c r="M79" s="151"/>
      <c r="N79" s="151"/>
      <c r="O79" s="151"/>
      <c r="P79" s="116"/>
    </row>
    <row r="80" spans="1:16" ht="15">
      <c r="B80" s="152"/>
      <c r="D80" s="151"/>
      <c r="E80" s="151"/>
      <c r="F80" s="151"/>
      <c r="G80" s="151"/>
      <c r="H80" s="151"/>
      <c r="I80" s="151"/>
      <c r="J80" s="151"/>
      <c r="K80" s="151"/>
      <c r="L80" s="151"/>
      <c r="M80" s="151"/>
      <c r="N80" s="151"/>
      <c r="O80" s="151"/>
      <c r="P80" s="116"/>
    </row>
    <row r="81" spans="2:16" ht="15">
      <c r="B81" s="152"/>
      <c r="D81" s="151"/>
      <c r="E81" s="151"/>
      <c r="F81" s="151"/>
      <c r="G81" s="151"/>
      <c r="H81" s="151"/>
      <c r="I81" s="151"/>
      <c r="J81" s="151"/>
      <c r="K81" s="151"/>
      <c r="L81" s="151"/>
      <c r="M81" s="151"/>
      <c r="N81" s="151"/>
      <c r="O81" s="151"/>
      <c r="P81" s="116"/>
    </row>
    <row r="82" spans="2:16" ht="15">
      <c r="B82" s="152"/>
      <c r="D82" s="151"/>
      <c r="E82" s="151"/>
      <c r="F82" s="151"/>
      <c r="G82" s="151"/>
      <c r="H82" s="151"/>
      <c r="I82" s="151"/>
      <c r="J82" s="151"/>
      <c r="K82" s="151"/>
      <c r="L82" s="151"/>
      <c r="M82" s="151"/>
      <c r="N82" s="151"/>
      <c r="O82" s="151"/>
      <c r="P82" s="116"/>
    </row>
    <row r="83" spans="2:16" ht="15">
      <c r="B83" s="153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8"/>
    </row>
    <row r="85" spans="2:16" ht="15">
      <c r="P85" s="116"/>
    </row>
    <row r="86" spans="2:16" ht="15">
      <c r="P86" s="116"/>
    </row>
    <row r="87" spans="2:16" ht="15">
      <c r="P87" s="116"/>
    </row>
  </sheetData>
  <mergeCells count="2">
    <mergeCell ref="A1:P1"/>
    <mergeCell ref="A2:P2"/>
  </mergeCells>
  <phoneticPr fontId="49" type="noConversion"/>
  <printOptions horizontalCentered="1"/>
  <pageMargins left="0.25" right="0.25" top="0.5" bottom="0.5" header="0.15" footer="0.3"/>
  <pageSetup scale="51" fitToHeight="0" orientation="landscape" blackAndWhite="1" horizontalDpi="300" verticalDpi="300" r:id="rId1"/>
  <headerFooter alignWithMargins="0"/>
  <rowBreaks count="1" manualBreakCount="1">
    <brk id="37" max="15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67">
    <tabColor theme="3" tint="0.79998168889431442"/>
  </sheetPr>
  <dimension ref="A1:I54"/>
  <sheetViews>
    <sheetView zoomScaleNormal="100" workbookViewId="0">
      <pane ySplit="4" topLeftCell="A5" activePane="bottomLeft" state="frozenSplit"/>
      <selection activeCell="B52" sqref="B52"/>
      <selection pane="bottomLeft" sqref="A1:G1"/>
    </sheetView>
  </sheetViews>
  <sheetFormatPr defaultColWidth="8" defaultRowHeight="15"/>
  <cols>
    <col min="1" max="1" width="4.28515625" style="90" customWidth="1"/>
    <col min="2" max="2" width="60" style="168" customWidth="1"/>
    <col min="3" max="3" width="45.7109375" style="91" customWidth="1"/>
    <col min="4" max="7" width="17.140625" style="91" customWidth="1"/>
    <col min="8" max="8" width="31.5703125" style="91" customWidth="1"/>
    <col min="9" max="9" width="17.140625" style="91" customWidth="1"/>
    <col min="10" max="16384" width="8" style="84"/>
  </cols>
  <sheetData>
    <row r="1" spans="1:9" s="80" customFormat="1" ht="18.75" customHeight="1">
      <c r="A1" s="537" t="s">
        <v>439</v>
      </c>
      <c r="B1" s="537"/>
      <c r="C1" s="537"/>
      <c r="D1" s="537"/>
      <c r="E1" s="537"/>
      <c r="F1" s="537"/>
      <c r="G1" s="537"/>
    </row>
    <row r="2" spans="1:9" s="80" customFormat="1" ht="18.75" customHeight="1">
      <c r="A2" s="537" t="s">
        <v>257</v>
      </c>
      <c r="B2" s="537"/>
      <c r="C2" s="537"/>
      <c r="D2" s="537"/>
      <c r="E2" s="537"/>
      <c r="F2" s="537"/>
      <c r="G2" s="537"/>
    </row>
    <row r="3" spans="1:9" ht="15" customHeight="1">
      <c r="A3" s="89"/>
      <c r="B3" s="82" t="s">
        <v>0</v>
      </c>
      <c r="C3" s="83" t="s">
        <v>1</v>
      </c>
      <c r="D3" s="208" t="s">
        <v>2</v>
      </c>
      <c r="E3" s="83" t="s">
        <v>3</v>
      </c>
      <c r="F3" s="83" t="s">
        <v>4</v>
      </c>
      <c r="G3" s="83" t="s">
        <v>5</v>
      </c>
      <c r="H3" s="149" t="s">
        <v>8</v>
      </c>
      <c r="I3" s="149"/>
    </row>
    <row r="4" spans="1:9" ht="15" customHeight="1">
      <c r="A4" s="89"/>
      <c r="B4" s="209" t="str">
        <f>A1</f>
        <v>Table 6</v>
      </c>
      <c r="C4" s="210" t="s">
        <v>30</v>
      </c>
      <c r="D4" s="210" t="s">
        <v>45</v>
      </c>
      <c r="E4" s="210" t="s">
        <v>35</v>
      </c>
      <c r="F4" s="210" t="s">
        <v>196</v>
      </c>
      <c r="G4" s="210" t="s">
        <v>46</v>
      </c>
      <c r="H4" s="211"/>
      <c r="I4" s="212"/>
    </row>
    <row r="5" spans="1:9" ht="15" customHeight="1">
      <c r="A5" s="85">
        <f>MAX($A$4:A4)+1</f>
        <v>1</v>
      </c>
      <c r="B5" s="213" t="s">
        <v>148</v>
      </c>
      <c r="C5" s="86"/>
      <c r="D5" s="166" t="s">
        <v>130</v>
      </c>
      <c r="E5" s="166" t="s">
        <v>51</v>
      </c>
      <c r="F5" s="166"/>
      <c r="G5" s="166"/>
      <c r="H5" s="214"/>
      <c r="I5" s="215"/>
    </row>
    <row r="6" spans="1:9" ht="15" customHeight="1">
      <c r="A6" s="85">
        <f>MAX($A$4:A5)+1</f>
        <v>2</v>
      </c>
      <c r="B6" s="147" t="s">
        <v>145</v>
      </c>
      <c r="C6" s="160" t="str">
        <f>"Table 3, Line "&amp;TEXT('T-3'!A50,"0")&amp;" "&amp;'T-3'!D4</f>
        <v>Table 3, Line 40 (C)</v>
      </c>
      <c r="D6" s="583">
        <f>'T-3'!D50</f>
        <v>1112800.6906879733</v>
      </c>
      <c r="E6" s="160"/>
      <c r="F6" s="160"/>
      <c r="G6" s="161"/>
      <c r="H6" s="492"/>
      <c r="I6" s="215"/>
    </row>
    <row r="7" spans="1:9" ht="15" customHeight="1">
      <c r="A7" s="85">
        <f>MAX($A$4:A6)+1</f>
        <v>3</v>
      </c>
      <c r="B7" s="213" t="s">
        <v>299</v>
      </c>
      <c r="C7" s="160"/>
      <c r="D7" s="160"/>
      <c r="E7" s="160"/>
      <c r="F7" s="160"/>
      <c r="G7" s="161"/>
      <c r="H7" s="493"/>
    </row>
    <row r="8" spans="1:9" ht="15" customHeight="1">
      <c r="A8" s="85">
        <f>MAX($A$4:A7)+1</f>
        <v>4</v>
      </c>
      <c r="B8" s="147" t="s">
        <v>311</v>
      </c>
      <c r="C8" s="160" t="str">
        <f>"Table 4, Line "&amp;TEXT('T-4'!A56,"0")&amp;" "&amp;'T-4'!$P$3</f>
        <v>Table 4, Line 52 (O)</v>
      </c>
      <c r="D8" s="218"/>
      <c r="E8" s="161">
        <f>'T-4'!P56</f>
        <v>32266.555555555551</v>
      </c>
      <c r="F8" s="584"/>
      <c r="G8" s="161"/>
      <c r="H8" s="167"/>
    </row>
    <row r="9" spans="1:9" ht="15" customHeight="1">
      <c r="A9" s="85">
        <f>MAX($A$4:A8)+1</f>
        <v>5</v>
      </c>
      <c r="B9" s="147" t="s">
        <v>127</v>
      </c>
      <c r="C9" s="160" t="str">
        <f>"Table 4, Line "&amp;TEXT('T-4'!A55,"0")&amp;" "&amp;'T-4'!$P$3</f>
        <v>Table 4, Line 51 (O)</v>
      </c>
      <c r="D9" s="218"/>
      <c r="E9" s="161">
        <f>'T-4'!P55</f>
        <v>31964.544341963319</v>
      </c>
      <c r="F9" s="584"/>
      <c r="G9" s="161"/>
      <c r="H9" s="167"/>
    </row>
    <row r="10" spans="1:9" ht="15" customHeight="1">
      <c r="A10" s="85">
        <f>MAX($A$4:A9)+1</f>
        <v>6</v>
      </c>
      <c r="B10" s="147" t="s">
        <v>313</v>
      </c>
      <c r="C10" s="160" t="str">
        <f>"Table 4, Line "&amp;TEXT('T-4'!A59,"0")&amp;" "&amp;'T-4'!$P$3</f>
        <v>Table 4, Line 55 (O)</v>
      </c>
      <c r="D10" s="218"/>
      <c r="E10" s="161">
        <f>'T-4'!P59</f>
        <v>10101.81732602987</v>
      </c>
      <c r="F10" s="584"/>
      <c r="G10" s="161"/>
      <c r="H10" s="167"/>
      <c r="I10" s="91" t="s">
        <v>8</v>
      </c>
    </row>
    <row r="11" spans="1:9" ht="15" customHeight="1">
      <c r="A11" s="85">
        <f>MAX($A$4:A10)+1</f>
        <v>7</v>
      </c>
      <c r="B11" s="147" t="s">
        <v>314</v>
      </c>
      <c r="C11" s="160" t="str">
        <f>"Table 4, Line "&amp;TEXT('T-4'!A60,"0")&amp;" "&amp;'T-4'!$P$3</f>
        <v>Table 4, Line 56 (O)</v>
      </c>
      <c r="D11" s="218"/>
      <c r="E11" s="161">
        <f>'T-4'!P60</f>
        <v>10005.776758575414</v>
      </c>
      <c r="F11" s="584"/>
      <c r="G11" s="219"/>
      <c r="H11" s="167"/>
      <c r="I11" s="84"/>
    </row>
    <row r="12" spans="1:9" ht="15" customHeight="1">
      <c r="A12" s="85">
        <f>MAX($A$4:A11)+1</f>
        <v>8</v>
      </c>
      <c r="B12" s="100" t="s">
        <v>172</v>
      </c>
      <c r="C12" s="160" t="str">
        <f>"Table 4, Line "&amp;TEXT('T-4'!A61,"0")&amp;" "&amp;'T-4'!$P$3</f>
        <v>Table 4, Line 57 (O)</v>
      </c>
      <c r="D12" s="218"/>
      <c r="E12" s="161">
        <f>'T-4'!P61</f>
        <v>11684.420195306089</v>
      </c>
      <c r="F12" s="584"/>
      <c r="G12" s="219"/>
      <c r="H12" s="167"/>
      <c r="I12" s="217"/>
    </row>
    <row r="13" spans="1:9" ht="15" customHeight="1">
      <c r="A13" s="85">
        <f>MAX($A$4:A12)+1</f>
        <v>9</v>
      </c>
      <c r="B13" s="156" t="s">
        <v>315</v>
      </c>
      <c r="C13" s="160" t="str">
        <f>"Table 4, Line "&amp;TEXT('T-4'!A63,"0")&amp;" "&amp;'T-4'!$P$3</f>
        <v>Table 4, Line 59 (O)</v>
      </c>
      <c r="D13" s="218"/>
      <c r="E13" s="161">
        <f>'T-4'!P63</f>
        <v>11846.064829449097</v>
      </c>
      <c r="F13" s="584"/>
      <c r="G13" s="219"/>
      <c r="H13" s="167"/>
      <c r="I13" s="217"/>
    </row>
    <row r="14" spans="1:9" ht="15" customHeight="1">
      <c r="A14" s="85">
        <f>MAX($A$4:A13)+1</f>
        <v>10</v>
      </c>
      <c r="B14" s="156" t="s">
        <v>316</v>
      </c>
      <c r="C14" s="160" t="str">
        <f>"Table 4, Line "&amp;TEXT('T-4'!A64,"0")&amp;" "&amp;'T-4'!$P$3</f>
        <v>Table 4, Line 60 (O)</v>
      </c>
      <c r="D14" s="218"/>
      <c r="E14" s="161">
        <f>'T-4'!P64</f>
        <v>11750.024261994638</v>
      </c>
      <c r="F14" s="584"/>
      <c r="G14" s="220"/>
      <c r="H14" s="167"/>
      <c r="I14" s="217"/>
    </row>
    <row r="15" spans="1:9" ht="15" customHeight="1">
      <c r="A15" s="85">
        <f>MAX($A$4:A14)+1</f>
        <v>11</v>
      </c>
      <c r="B15" s="163" t="s">
        <v>312</v>
      </c>
      <c r="C15" s="160" t="str">
        <f>"Table 4, Line "&amp;TEXT('T-4'!A65,"0")&amp;" "&amp;'T-4'!$P$3</f>
        <v>Table 4, Line 61 (O)</v>
      </c>
      <c r="D15" s="218"/>
      <c r="E15" s="161">
        <f>'T-4'!P65</f>
        <v>13468.380029542095</v>
      </c>
      <c r="F15" s="584"/>
      <c r="G15" s="219"/>
      <c r="H15" s="167"/>
      <c r="I15" s="217"/>
    </row>
    <row r="16" spans="1:9" ht="15" customHeight="1">
      <c r="A16" s="85">
        <f>MAX($A$4:A15)+1</f>
        <v>12</v>
      </c>
      <c r="B16" s="156" t="s">
        <v>47</v>
      </c>
      <c r="C16" s="160" t="str">
        <f>"Table 5, Line "&amp;TEXT('T-5'!A34,"0")&amp;" "&amp;'T-5'!$P$3</f>
        <v>Table 5, Line 30 (O)</v>
      </c>
      <c r="D16" s="218"/>
      <c r="E16" s="161">
        <f>'T-5'!P34</f>
        <v>292.16434143268333</v>
      </c>
      <c r="F16" s="584"/>
      <c r="G16" s="161"/>
      <c r="H16" s="167"/>
      <c r="I16" s="217"/>
    </row>
    <row r="17" spans="1:9" ht="15" customHeight="1">
      <c r="A17" s="85">
        <f>MAX($A$4:A16)+1</f>
        <v>13</v>
      </c>
      <c r="B17" s="156" t="s">
        <v>48</v>
      </c>
      <c r="C17" s="160" t="str">
        <f>"Table 5, Line "&amp;TEXT('T-5'!A35,"0")&amp;" "&amp;'T-5'!$P$3</f>
        <v>Table 5, Line 31 (O)</v>
      </c>
      <c r="D17" s="218"/>
      <c r="E17" s="161">
        <f>'T-5'!P35</f>
        <v>728.56426618049215</v>
      </c>
      <c r="F17" s="584"/>
      <c r="G17" s="161"/>
      <c r="H17" s="167"/>
      <c r="I17" s="217"/>
    </row>
    <row r="18" spans="1:9" ht="15" customHeight="1">
      <c r="A18" s="85">
        <f>MAX($A$4:A17)+1</f>
        <v>14</v>
      </c>
      <c r="B18" s="147" t="s">
        <v>38</v>
      </c>
      <c r="C18" s="160" t="str">
        <f>"Table 5, Line "&amp;TEXT('T-5'!A36,"0")&amp;" "&amp;'T-5'!$P$3</f>
        <v>Table 5, Line 32 (O)</v>
      </c>
      <c r="D18" s="585"/>
      <c r="E18" s="161">
        <f>'T-5'!P36</f>
        <v>258.84931506849313</v>
      </c>
      <c r="F18" s="584"/>
      <c r="G18" s="161"/>
      <c r="H18" s="167"/>
      <c r="I18" s="217"/>
    </row>
    <row r="19" spans="1:9" ht="15" customHeight="1">
      <c r="A19" s="85">
        <f>MAX($A$4:A18)+1</f>
        <v>15</v>
      </c>
      <c r="B19" s="213" t="s">
        <v>149</v>
      </c>
      <c r="C19" s="221"/>
      <c r="D19" s="88"/>
      <c r="E19" s="161"/>
      <c r="F19" s="161"/>
      <c r="G19" s="219"/>
      <c r="H19" s="216"/>
      <c r="I19" s="217"/>
    </row>
    <row r="20" spans="1:9" ht="15" customHeight="1">
      <c r="A20" s="85">
        <f>MAX($A$4:A19)+1</f>
        <v>16</v>
      </c>
      <c r="B20" s="147" t="s">
        <v>321</v>
      </c>
      <c r="C20" s="160" t="str">
        <f>"Line "&amp;TEXT(A14,"0")</f>
        <v>Line 10</v>
      </c>
      <c r="D20" s="88"/>
      <c r="E20" s="161">
        <f>E14</f>
        <v>11750.024261994638</v>
      </c>
      <c r="F20" s="584"/>
      <c r="G20" s="219"/>
      <c r="H20" s="216"/>
      <c r="I20" s="217"/>
    </row>
    <row r="21" spans="1:9" ht="15" customHeight="1">
      <c r="A21" s="85">
        <f>MAX($A$4:A20)+1</f>
        <v>17</v>
      </c>
      <c r="B21" s="147" t="s">
        <v>212</v>
      </c>
      <c r="C21" s="222" t="str">
        <f>"Line "&amp;TEXT(A9,"0")</f>
        <v>Line 5</v>
      </c>
      <c r="D21" s="88"/>
      <c r="E21" s="161">
        <f>E9</f>
        <v>31964.544341963319</v>
      </c>
      <c r="F21" s="161"/>
      <c r="G21" s="219"/>
      <c r="H21" s="216"/>
      <c r="I21" s="217"/>
    </row>
    <row r="22" spans="1:9" ht="15" customHeight="1">
      <c r="A22" s="85">
        <f>MAX($A$4:A21)+1</f>
        <v>18</v>
      </c>
      <c r="B22" s="156" t="s">
        <v>47</v>
      </c>
      <c r="C22" s="222" t="str">
        <f>"Line "&amp;TEXT(A16,"0")&amp;" x (7/5)"</f>
        <v>Line 12 x (7/5)</v>
      </c>
      <c r="D22" s="88"/>
      <c r="E22" s="161">
        <f>E16*7/5</f>
        <v>409.03007800575665</v>
      </c>
      <c r="F22" s="161"/>
      <c r="G22" s="219"/>
      <c r="H22" s="167"/>
    </row>
    <row r="23" spans="1:9" ht="15" customHeight="1">
      <c r="A23" s="85">
        <f>MAX($A$4:A22)+1</f>
        <v>19</v>
      </c>
      <c r="B23" s="156" t="s">
        <v>48</v>
      </c>
      <c r="C23" s="222" t="str">
        <f>"Line "&amp;TEXT(A17,"0")</f>
        <v>Line 13</v>
      </c>
      <c r="D23" s="88"/>
      <c r="E23" s="161">
        <f>E17</f>
        <v>728.56426618049215</v>
      </c>
      <c r="F23" s="161"/>
      <c r="G23" s="219"/>
      <c r="H23" s="167"/>
    </row>
    <row r="24" spans="1:9" ht="15" customHeight="1">
      <c r="A24" s="85">
        <f>MAX($A$4:A23)+1</f>
        <v>20</v>
      </c>
      <c r="B24" s="147" t="s">
        <v>38</v>
      </c>
      <c r="C24" s="222" t="str">
        <f>"Line "&amp;TEXT(A18,"0")&amp;" x (7/5) x (24/16)"</f>
        <v>Line 14 x (7/5) x (24/16)</v>
      </c>
      <c r="D24" s="88"/>
      <c r="E24" s="586">
        <f>E18*7/5*24/16</f>
        <v>543.58356164383554</v>
      </c>
      <c r="F24" s="161"/>
      <c r="G24" s="219"/>
      <c r="H24" s="216"/>
      <c r="I24" s="217"/>
    </row>
    <row r="25" spans="1:9" ht="15" customHeight="1">
      <c r="A25" s="85">
        <f>MAX($A$4:A24)+1</f>
        <v>21</v>
      </c>
      <c r="B25" s="172" t="s">
        <v>210</v>
      </c>
      <c r="C25" s="160" t="str">
        <f>"Sum of Line "&amp;TEXT(A20,"0")&amp;" through Line "&amp;TEXT(A24,"0")</f>
        <v>Sum of Line 16 through Line 20</v>
      </c>
      <c r="D25" s="88"/>
      <c r="E25" s="161">
        <f>SUM(E20:E24)</f>
        <v>45395.746509788041</v>
      </c>
      <c r="F25" s="587"/>
      <c r="G25" s="219"/>
      <c r="H25" s="216"/>
      <c r="I25" s="217"/>
    </row>
    <row r="26" spans="1:9" ht="15" customHeight="1">
      <c r="A26" s="85">
        <f>MAX($A$4:A25)+1</f>
        <v>22</v>
      </c>
      <c r="B26" s="213" t="s">
        <v>190</v>
      </c>
      <c r="C26" s="160"/>
      <c r="D26" s="88"/>
      <c r="E26" s="587"/>
      <c r="F26" s="587"/>
      <c r="G26" s="161"/>
      <c r="H26" s="216"/>
      <c r="I26" s="217"/>
    </row>
    <row r="27" spans="1:9" ht="15" customHeight="1">
      <c r="A27" s="85">
        <f>MAX($A$4:A26)+1</f>
        <v>23</v>
      </c>
      <c r="B27" s="147" t="s">
        <v>319</v>
      </c>
      <c r="C27" s="222" t="str">
        <f>"Sum of Line "&amp;TEXT(A21,"0")&amp;" through Line "&amp;TEXT(A24,"0")</f>
        <v>Sum of Line 17 through Line 20</v>
      </c>
      <c r="D27" s="88"/>
      <c r="E27" s="161">
        <f>(E21+E22+E23+E24)</f>
        <v>33645.722247793397</v>
      </c>
      <c r="F27" s="588"/>
      <c r="G27" s="161"/>
      <c r="H27" s="217"/>
      <c r="I27" s="217"/>
    </row>
    <row r="28" spans="1:9" ht="15" customHeight="1">
      <c r="A28" s="85">
        <f>MAX($A$4:A27)+1</f>
        <v>24</v>
      </c>
      <c r="B28" s="147" t="s">
        <v>320</v>
      </c>
      <c r="C28" s="222" t="str">
        <f>"Line "&amp;TEXT(A25,"0")</f>
        <v>Line 21</v>
      </c>
      <c r="D28" s="88"/>
      <c r="E28" s="586">
        <f>$E$25</f>
        <v>45395.746509788041</v>
      </c>
      <c r="F28" s="588"/>
      <c r="G28" s="161"/>
    </row>
    <row r="29" spans="1:9" ht="15" customHeight="1">
      <c r="A29" s="85">
        <f>MAX($A$4:A28)+1</f>
        <v>25</v>
      </c>
      <c r="B29" s="100" t="s">
        <v>192</v>
      </c>
      <c r="C29" s="222" t="str">
        <f>"Line "&amp;TEXT(A27,"0")&amp;" / Line "&amp;TEXT(A28,"0")</f>
        <v>Line 23 / Line 24</v>
      </c>
      <c r="D29" s="88"/>
      <c r="E29" s="88"/>
      <c r="F29" s="589">
        <f>E27/E28</f>
        <v>0.74116464282702887</v>
      </c>
      <c r="G29" s="161"/>
    </row>
    <row r="30" spans="1:9" ht="15" customHeight="1">
      <c r="A30" s="85">
        <f>MAX($A$4:A29)+1</f>
        <v>26</v>
      </c>
      <c r="B30" s="147" t="s">
        <v>321</v>
      </c>
      <c r="C30" s="222" t="str">
        <f>"Line "&amp;TEXT(A20,"0")</f>
        <v>Line 16</v>
      </c>
      <c r="D30" s="88"/>
      <c r="E30" s="161">
        <f>+E20</f>
        <v>11750.024261994638</v>
      </c>
      <c r="F30" s="587"/>
      <c r="G30" s="161"/>
    </row>
    <row r="31" spans="1:9" ht="15" customHeight="1">
      <c r="A31" s="85">
        <f>MAX($A$4:A30)+1</f>
        <v>27</v>
      </c>
      <c r="B31" s="147" t="s">
        <v>320</v>
      </c>
      <c r="C31" s="222" t="str">
        <f>"Line "&amp;TEXT(A25,"0")</f>
        <v>Line 21</v>
      </c>
      <c r="D31" s="88"/>
      <c r="E31" s="586">
        <f>$E$25</f>
        <v>45395.746509788041</v>
      </c>
      <c r="F31" s="587"/>
      <c r="G31" s="161"/>
    </row>
    <row r="32" spans="1:9" ht="15" customHeight="1">
      <c r="A32" s="85">
        <f>MAX($A$4:A31)+1</f>
        <v>28</v>
      </c>
      <c r="B32" s="100" t="s">
        <v>191</v>
      </c>
      <c r="C32" s="222" t="str">
        <f>"Line "&amp;TEXT(A30,"0")&amp;" / Line "&amp;TEXT(A31,"0")</f>
        <v>Line 26 / Line 27</v>
      </c>
      <c r="D32" s="88"/>
      <c r="E32" s="88"/>
      <c r="F32" s="589">
        <f>E30/E31</f>
        <v>0.25883535717297096</v>
      </c>
      <c r="G32" s="161"/>
    </row>
    <row r="33" spans="1:9" ht="15" customHeight="1">
      <c r="A33" s="85">
        <f>MAX($A$4:A32)+1</f>
        <v>29</v>
      </c>
      <c r="B33" s="213" t="s">
        <v>195</v>
      </c>
      <c r="C33" s="160"/>
      <c r="D33" s="88"/>
      <c r="E33" s="587"/>
      <c r="F33" s="587"/>
      <c r="G33" s="161"/>
    </row>
    <row r="34" spans="1:9" ht="15" customHeight="1">
      <c r="A34" s="85">
        <f>MAX($A$4:A33)+1</f>
        <v>30</v>
      </c>
      <c r="B34" s="100" t="s">
        <v>318</v>
      </c>
      <c r="C34" s="160"/>
      <c r="D34" s="590"/>
      <c r="E34" s="587"/>
      <c r="F34" s="587"/>
      <c r="G34" s="161"/>
    </row>
    <row r="35" spans="1:9" ht="15" customHeight="1">
      <c r="A35" s="85">
        <f>MAX($A$4:A34)+1</f>
        <v>31</v>
      </c>
      <c r="B35" s="103" t="s">
        <v>193</v>
      </c>
      <c r="C35" s="160" t="str">
        <f>"Line "&amp;TEXT(A6,"0")</f>
        <v>Line 2</v>
      </c>
      <c r="D35" s="590">
        <f>D6</f>
        <v>1112800.6906879733</v>
      </c>
      <c r="E35" s="587"/>
      <c r="F35" s="587"/>
      <c r="G35" s="161"/>
    </row>
    <row r="36" spans="1:9" ht="15" customHeight="1">
      <c r="A36" s="85">
        <f>MAX($A$4:A35)+1</f>
        <v>32</v>
      </c>
      <c r="B36" s="103" t="s">
        <v>322</v>
      </c>
      <c r="C36" s="222" t="str">
        <f>"Line "&amp;TEXT(A29,"0")</f>
        <v>Line 25</v>
      </c>
      <c r="D36" s="587"/>
      <c r="E36" s="587"/>
      <c r="F36" s="589">
        <f>F29</f>
        <v>0.74116464282702887</v>
      </c>
      <c r="G36" s="161"/>
    </row>
    <row r="37" spans="1:9" ht="15" customHeight="1">
      <c r="A37" s="85">
        <f>MAX($A$4:A36)+1</f>
        <v>33</v>
      </c>
      <c r="B37" s="103" t="s">
        <v>326</v>
      </c>
      <c r="C37" s="160" t="str">
        <f>"Line "&amp;TEXT(A35,"0")&amp;" x Line "&amp;TEXT(A36,"0")</f>
        <v>Line 31 x Line 32</v>
      </c>
      <c r="D37" s="590">
        <f>D35*F36</f>
        <v>824768.52645142272</v>
      </c>
      <c r="E37" s="587"/>
      <c r="F37" s="587"/>
      <c r="G37" s="161"/>
    </row>
    <row r="38" spans="1:9" ht="15" customHeight="1">
      <c r="A38" s="85">
        <f>MAX($A$4:A37)+1</f>
        <v>34</v>
      </c>
      <c r="B38" s="103" t="s">
        <v>401</v>
      </c>
      <c r="C38" s="222" t="str">
        <f>"Line "&amp;TEXT(A27,"0")</f>
        <v>Line 23</v>
      </c>
      <c r="D38" s="160"/>
      <c r="E38" s="590">
        <f>E27</f>
        <v>33645.722247793397</v>
      </c>
      <c r="F38" s="590"/>
      <c r="G38" s="161"/>
    </row>
    <row r="39" spans="1:9" ht="15" customHeight="1">
      <c r="A39" s="85">
        <f>MAX($A$4:A38)+1</f>
        <v>35</v>
      </c>
      <c r="B39" s="103" t="s">
        <v>325</v>
      </c>
      <c r="C39" s="160" t="str">
        <f>"Line "&amp;TEXT(A37,"0")&amp;" / Line "&amp;TEXT(A38,"0")</f>
        <v>Line 33 / Line 34</v>
      </c>
      <c r="D39" s="587"/>
      <c r="E39" s="591"/>
      <c r="F39" s="587"/>
      <c r="G39" s="592">
        <f>D37/E38</f>
        <v>24.513325063352262</v>
      </c>
      <c r="H39" s="84" t="str">
        <f ca="1">_xlfn.FORMULATEXT(G39)</f>
        <v>=D37/E38</v>
      </c>
    </row>
    <row r="40" spans="1:9" ht="15" customHeight="1">
      <c r="A40" s="85">
        <f>MAX($A$4:A39)+1</f>
        <v>36</v>
      </c>
      <c r="B40" s="103" t="s">
        <v>152</v>
      </c>
      <c r="C40" s="160" t="str">
        <f>"Line "&amp;TEXT(A39,"0")&amp;" / 12"</f>
        <v>Line 35 / 12</v>
      </c>
      <c r="D40" s="587"/>
      <c r="E40" s="587"/>
      <c r="F40" s="587"/>
      <c r="G40" s="593">
        <f>ROUND(G39/12,3)</f>
        <v>2.0430000000000001</v>
      </c>
      <c r="H40" s="84" t="str">
        <f ca="1">_xlfn.FORMULATEXT(G40)</f>
        <v>=ROUND(G39/12,3)</v>
      </c>
      <c r="I40" s="84"/>
    </row>
    <row r="41" spans="1:9" ht="15" customHeight="1">
      <c r="A41" s="85">
        <f>MAX($A$4:A40)+1</f>
        <v>37</v>
      </c>
      <c r="B41" s="103" t="s">
        <v>327</v>
      </c>
      <c r="C41" s="160" t="str">
        <f>"Line "&amp;TEXT(A39,"0")&amp;" / 365 x (7/5)"</f>
        <v>Line 35 / 365 x (7/5)</v>
      </c>
      <c r="D41" s="587"/>
      <c r="E41" s="587"/>
      <c r="F41" s="587"/>
      <c r="G41" s="593">
        <f>ROUND((G39/365)*(7/5),3)</f>
        <v>9.4E-2</v>
      </c>
      <c r="H41" s="84" t="str">
        <f ca="1">_xlfn.FORMULATEXT(G41)</f>
        <v>=ROUND((G39/365)*(7/5),3)</v>
      </c>
      <c r="I41" s="84"/>
    </row>
    <row r="42" spans="1:9" ht="15" customHeight="1">
      <c r="A42" s="85">
        <f>MAX($A$4:A41)+1</f>
        <v>38</v>
      </c>
      <c r="B42" s="103" t="s">
        <v>328</v>
      </c>
      <c r="C42" s="160" t="str">
        <f>"Line "&amp;TEXT(A39,"0")&amp;" / 365"</f>
        <v>Line 35 / 365</v>
      </c>
      <c r="D42" s="587"/>
      <c r="E42" s="587"/>
      <c r="F42" s="587"/>
      <c r="G42" s="593">
        <f>ROUND(G39/365,3)</f>
        <v>6.7000000000000004E-2</v>
      </c>
      <c r="H42" s="84" t="str">
        <f ca="1">_xlfn.FORMULATEXT(G42)</f>
        <v>=ROUND(G39/365,3)</v>
      </c>
      <c r="I42" s="84"/>
    </row>
    <row r="43" spans="1:9" ht="15" customHeight="1">
      <c r="A43" s="85">
        <f>MAX($A$4:A42)+1</f>
        <v>39</v>
      </c>
      <c r="B43" s="103" t="s">
        <v>153</v>
      </c>
      <c r="C43" s="160" t="str">
        <f>"Line "&amp;TEXT(A39,"0")&amp;" / 8.76 x (7/5) x (24/16)"</f>
        <v>Line 35 / 8.76 x (7/5) x (24/16)</v>
      </c>
      <c r="D43" s="587"/>
      <c r="E43" s="587"/>
      <c r="F43" s="587"/>
      <c r="G43" s="592">
        <f>ROUND((G39/8.76)*(7/5)*(24/16),2)</f>
        <v>5.88</v>
      </c>
      <c r="H43" s="84" t="str">
        <f ca="1">_xlfn.FORMULATEXT(G43)</f>
        <v>=ROUND((G39/8.76)*(7/5)*(24/16),2)</v>
      </c>
      <c r="I43" s="84"/>
    </row>
    <row r="44" spans="1:9" ht="15" customHeight="1">
      <c r="A44" s="85">
        <f>MAX($A$4:A43)+1</f>
        <v>40</v>
      </c>
      <c r="B44" s="100" t="s">
        <v>329</v>
      </c>
      <c r="C44" s="160"/>
      <c r="D44" s="88"/>
      <c r="E44" s="587"/>
      <c r="F44" s="587"/>
      <c r="G44" s="88"/>
      <c r="I44" s="84"/>
    </row>
    <row r="45" spans="1:9" ht="15" customHeight="1">
      <c r="A45" s="85">
        <f>MAX($A$4:A44)+1</f>
        <v>41</v>
      </c>
      <c r="B45" s="103" t="s">
        <v>193</v>
      </c>
      <c r="C45" s="160" t="str">
        <f>"Line "&amp;TEXT(A6,"0")</f>
        <v>Line 2</v>
      </c>
      <c r="D45" s="590">
        <f>D6</f>
        <v>1112800.6906879733</v>
      </c>
      <c r="E45" s="587"/>
      <c r="F45" s="587"/>
      <c r="G45" s="161"/>
    </row>
    <row r="46" spans="1:9" ht="15" customHeight="1">
      <c r="A46" s="85">
        <f>MAX($A$4:A45)+1</f>
        <v>42</v>
      </c>
      <c r="B46" s="103" t="s">
        <v>323</v>
      </c>
      <c r="C46" s="160" t="str">
        <f>"Line "&amp;TEXT(A32,"0")</f>
        <v>Line 28</v>
      </c>
      <c r="D46" s="587"/>
      <c r="E46" s="587"/>
      <c r="F46" s="589">
        <f>F32</f>
        <v>0.25883535717297096</v>
      </c>
      <c r="G46" s="161"/>
      <c r="I46" s="84"/>
    </row>
    <row r="47" spans="1:9" ht="15" customHeight="1">
      <c r="A47" s="85">
        <f>MAX($A$4:A46)+1</f>
        <v>43</v>
      </c>
      <c r="B47" s="103" t="s">
        <v>194</v>
      </c>
      <c r="C47" s="160" t="str">
        <f>"Line "&amp;TEXT(A45,"0")&amp;" x Line "&amp;TEXT(A46,"0")</f>
        <v>Line 41 x Line 42</v>
      </c>
      <c r="D47" s="590">
        <f>D45*F46</f>
        <v>288032.16423655034</v>
      </c>
      <c r="E47" s="587"/>
      <c r="F47" s="587"/>
      <c r="G47" s="161"/>
      <c r="I47" s="84"/>
    </row>
    <row r="48" spans="1:9" ht="15" customHeight="1">
      <c r="A48" s="85">
        <f>MAX($A$4:A47)+1</f>
        <v>44</v>
      </c>
      <c r="B48" s="103" t="s">
        <v>400</v>
      </c>
      <c r="C48" s="160" t="str">
        <f>"Line "&amp;TEXT(A11,"0")</f>
        <v>Line 7</v>
      </c>
      <c r="D48" s="587"/>
      <c r="E48" s="594">
        <f>E11</f>
        <v>10005.776758575414</v>
      </c>
      <c r="F48" s="594"/>
      <c r="G48" s="161"/>
      <c r="I48" s="84"/>
    </row>
    <row r="49" spans="1:9" ht="15" customHeight="1">
      <c r="A49" s="85">
        <f>MAX($A$4:A48)+1</f>
        <v>45</v>
      </c>
      <c r="B49" s="103" t="s">
        <v>330</v>
      </c>
      <c r="C49" s="160" t="str">
        <f>"Line "&amp;TEXT(A47,"0")&amp;" / Line "&amp;TEXT(A48,"0")</f>
        <v>Line 43 / Line 44</v>
      </c>
      <c r="D49" s="587"/>
      <c r="E49" s="591"/>
      <c r="F49" s="587"/>
      <c r="G49" s="592">
        <f>D47/E48</f>
        <v>28.786587107262157</v>
      </c>
      <c r="H49" s="84" t="str">
        <f ca="1">_xlfn.FORMULATEXT(G49)</f>
        <v>=D47/E48</v>
      </c>
      <c r="I49" s="84"/>
    </row>
    <row r="50" spans="1:9" ht="15" customHeight="1">
      <c r="A50" s="85">
        <f>MAX($A$4:A49)+1</f>
        <v>46</v>
      </c>
      <c r="B50" s="103" t="s">
        <v>152</v>
      </c>
      <c r="C50" s="160" t="str">
        <f>"Line "&amp;TEXT(A49,"0")&amp;" / 12"</f>
        <v>Line 45 / 12</v>
      </c>
      <c r="D50" s="587"/>
      <c r="E50" s="587"/>
      <c r="F50" s="587"/>
      <c r="G50" s="593">
        <f>ROUND(G49/12,3)</f>
        <v>2.399</v>
      </c>
      <c r="H50" s="84" t="str">
        <f ca="1">_xlfn.FORMULATEXT(G50)</f>
        <v>=ROUND(G49/12,3)</v>
      </c>
      <c r="I50" s="84"/>
    </row>
    <row r="51" spans="1:9" ht="15" customHeight="1">
      <c r="A51" s="85">
        <f>MAX($A$4:A50)+1</f>
        <v>47</v>
      </c>
      <c r="B51" s="213" t="s">
        <v>324</v>
      </c>
      <c r="C51" s="160"/>
      <c r="D51" s="161"/>
      <c r="E51" s="160"/>
      <c r="F51" s="160"/>
      <c r="G51" s="88"/>
    </row>
    <row r="52" spans="1:9" ht="15" customHeight="1">
      <c r="A52" s="85">
        <f>MAX($A$4:A51)+1</f>
        <v>48</v>
      </c>
      <c r="B52" s="147" t="s">
        <v>150</v>
      </c>
      <c r="C52" s="160" t="str">
        <f>"(Line "&amp;TEXT(A10,"0")&amp;" - Line "&amp;TEXT(A11,"0")&amp;") x Line "&amp;TEXT(A49,"0")&amp;""</f>
        <v>(Line 6 - Line 7) x Line 45</v>
      </c>
      <c r="D52" s="595">
        <f>(E10-E11)*G49</f>
        <v>2764.6801608585938</v>
      </c>
      <c r="E52" s="160"/>
      <c r="F52" s="160"/>
      <c r="G52" s="88"/>
    </row>
    <row r="53" spans="1:9" ht="15" customHeight="1">
      <c r="A53" s="85">
        <f>MAX($A$4:A52)+1</f>
        <v>49</v>
      </c>
      <c r="B53" s="147" t="s">
        <v>132</v>
      </c>
      <c r="C53" s="160" t="str">
        <f>"(Line "&amp;TEXT(A8,"0")&amp;" - Line "&amp;TEXT(A9,"0")&amp;") x Line "&amp;TEXT(A39,"0")&amp;""</f>
        <v>(Line 4 - Line 5) x Line 35</v>
      </c>
      <c r="D53" s="595">
        <f>(E8-E9)*G39</f>
        <v>7403.2990515638894</v>
      </c>
      <c r="E53" s="160"/>
      <c r="F53" s="160"/>
      <c r="G53" s="88"/>
    </row>
    <row r="54" spans="1:9" ht="15" customHeight="1">
      <c r="A54" s="85">
        <f>MAX($A$4:A53)+1</f>
        <v>50</v>
      </c>
      <c r="B54" s="100" t="s">
        <v>331</v>
      </c>
      <c r="C54" s="160" t="str">
        <f>"Line "&amp;TEXT(A52,"0")&amp;" + Line "&amp;TEXT(A53,"0")</f>
        <v>Line 48 + Line 49</v>
      </c>
      <c r="D54" s="223">
        <f>D52+D53</f>
        <v>10167.979212422484</v>
      </c>
      <c r="E54" s="166"/>
      <c r="F54" s="166"/>
      <c r="G54" s="86"/>
    </row>
  </sheetData>
  <mergeCells count="2">
    <mergeCell ref="A1:G1"/>
    <mergeCell ref="A2:G2"/>
  </mergeCells>
  <phoneticPr fontId="49" type="noConversion"/>
  <conditionalFormatting sqref="H7">
    <cfRule type="cellIs" dxfId="37" priority="11" operator="equal">
      <formula>"You're Good!"</formula>
    </cfRule>
    <cfRule type="cellIs" dxfId="36" priority="12" operator="equal">
      <formula>"Keep Going!"</formula>
    </cfRule>
  </conditionalFormatting>
  <conditionalFormatting sqref="H39:H43">
    <cfRule type="containsText" dxfId="35" priority="2" operator="containsText" text="UP">
      <formula>NOT(ISERROR(SEARCH("UP",H39)))</formula>
    </cfRule>
  </conditionalFormatting>
  <conditionalFormatting sqref="H49:H50">
    <cfRule type="containsText" dxfId="34" priority="1" operator="containsText" text="UP">
      <formula>NOT(ISERROR(SEARCH("UP",H49)))</formula>
    </cfRule>
  </conditionalFormatting>
  <printOptions horizontalCentered="1"/>
  <pageMargins left="0.5" right="0.5" top="1" bottom="1" header="0.5" footer="0.5"/>
  <pageSetup scale="77" fitToHeight="0" orientation="landscape" blackAndWhite="1" horizontalDpi="300" verticalDpi="300" r:id="rId1"/>
  <headerFooter alignWithMargins="0"/>
  <rowBreaks count="1" manualBreakCount="1">
    <brk id="50" max="7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18">
    <tabColor theme="3" tint="0.79998168889431442"/>
    <pageSetUpPr fitToPage="1"/>
  </sheetPr>
  <dimension ref="A1:G66"/>
  <sheetViews>
    <sheetView zoomScaleNormal="100" workbookViewId="0">
      <pane ySplit="4" topLeftCell="A5" activePane="bottomLeft" state="frozenSplit"/>
      <selection activeCell="B52" sqref="B52"/>
      <selection pane="bottomLeft" sqref="A1:F1"/>
    </sheetView>
  </sheetViews>
  <sheetFormatPr defaultColWidth="8" defaultRowHeight="15"/>
  <cols>
    <col min="1" max="1" width="4.28515625" style="167" customWidth="1"/>
    <col min="2" max="2" width="60" style="168" customWidth="1"/>
    <col min="3" max="3" width="45.7109375" style="91" customWidth="1"/>
    <col min="4" max="5" width="17.140625" style="91" customWidth="1"/>
    <col min="6" max="7" width="17.140625" style="84" customWidth="1"/>
    <col min="8" max="16384" width="8" style="84"/>
  </cols>
  <sheetData>
    <row r="1" spans="1:7" s="80" customFormat="1" ht="18.75" customHeight="1">
      <c r="A1" s="537" t="s">
        <v>144</v>
      </c>
      <c r="B1" s="537"/>
      <c r="C1" s="537"/>
      <c r="D1" s="537"/>
      <c r="E1" s="537"/>
      <c r="F1" s="537"/>
    </row>
    <row r="2" spans="1:7" s="80" customFormat="1" ht="18.75" customHeight="1">
      <c r="A2" s="537" t="s">
        <v>155</v>
      </c>
      <c r="B2" s="537"/>
      <c r="C2" s="537"/>
      <c r="D2" s="537"/>
      <c r="E2" s="537"/>
      <c r="F2" s="537"/>
    </row>
    <row r="3" spans="1:7" ht="15" customHeight="1">
      <c r="A3" s="89"/>
      <c r="B3" s="82" t="s">
        <v>0</v>
      </c>
      <c r="C3" s="83" t="s">
        <v>1</v>
      </c>
      <c r="D3" s="208" t="s">
        <v>2</v>
      </c>
      <c r="E3" s="208" t="s">
        <v>3</v>
      </c>
      <c r="F3" s="208" t="s">
        <v>4</v>
      </c>
    </row>
    <row r="4" spans="1:7" ht="15" customHeight="1">
      <c r="A4" s="89"/>
      <c r="B4" s="209" t="s">
        <v>479</v>
      </c>
      <c r="C4" s="210" t="s">
        <v>30</v>
      </c>
      <c r="D4" s="210" t="s">
        <v>45</v>
      </c>
      <c r="E4" s="210" t="s">
        <v>35</v>
      </c>
      <c r="F4" s="210" t="s">
        <v>46</v>
      </c>
    </row>
    <row r="5" spans="1:7" ht="15" customHeight="1">
      <c r="A5" s="85">
        <f>MAX($A$4:A4)+1</f>
        <v>1</v>
      </c>
      <c r="B5" s="213" t="s">
        <v>49</v>
      </c>
      <c r="C5" s="161"/>
      <c r="D5" s="166" t="s">
        <v>130</v>
      </c>
      <c r="E5" s="166" t="s">
        <v>51</v>
      </c>
      <c r="F5" s="162"/>
    </row>
    <row r="6" spans="1:7" ht="15" customHeight="1">
      <c r="A6" s="85">
        <f>MAX($A$4:A5)+1</f>
        <v>2</v>
      </c>
      <c r="B6" s="147" t="s">
        <v>298</v>
      </c>
      <c r="C6" s="160" t="str">
        <f>"Table 3, Line "&amp;TEXT('T-3'!A50,"0")&amp;" "&amp;'T-3'!E4</f>
        <v>Table 3, Line 40 (D)</v>
      </c>
      <c r="D6" s="165">
        <f>'T-3'!E50</f>
        <v>121147.77130961954</v>
      </c>
      <c r="E6" s="225"/>
      <c r="F6" s="225"/>
    </row>
    <row r="7" spans="1:7" ht="15" customHeight="1">
      <c r="A7" s="85">
        <f>MAX($A$4:A6)+1</f>
        <v>3</v>
      </c>
      <c r="B7" s="213" t="s">
        <v>50</v>
      </c>
      <c r="C7" s="160"/>
      <c r="D7" s="161"/>
      <c r="E7" s="225"/>
      <c r="F7" s="225"/>
    </row>
    <row r="8" spans="1:7" ht="15" customHeight="1">
      <c r="A8" s="85">
        <f>MAX($A$4:A7)+1</f>
        <v>4</v>
      </c>
      <c r="B8" s="147" t="s">
        <v>333</v>
      </c>
      <c r="C8" s="160" t="str">
        <f>"Table 4, Line "&amp;TEXT('T-4'!A71,"0")&amp;" "&amp;'T-4'!P3</f>
        <v>Table 4, Line 67 (O)</v>
      </c>
      <c r="D8" s="225"/>
      <c r="E8" s="165">
        <f>'T-4'!P71</f>
        <v>6991.1388888888896</v>
      </c>
      <c r="F8" s="225"/>
    </row>
    <row r="9" spans="1:7" ht="15" customHeight="1">
      <c r="A9" s="85">
        <f>MAX($A$4:A8)+1</f>
        <v>5</v>
      </c>
      <c r="B9" s="147" t="s">
        <v>332</v>
      </c>
      <c r="C9" s="160" t="str">
        <f>"Table 5, Line "&amp;TEXT('T-5'!A64,"0")&amp;" "&amp;'T-5'!P3</f>
        <v>Table 5, Line 60 (O)</v>
      </c>
      <c r="D9" s="225"/>
      <c r="E9" s="165">
        <f>'T-5'!P64</f>
        <v>14.461187214611854</v>
      </c>
      <c r="F9" s="225"/>
    </row>
    <row r="10" spans="1:7" ht="15" customHeight="1">
      <c r="A10" s="85">
        <f>MAX($A$4:A9)+1</f>
        <v>6</v>
      </c>
      <c r="B10" s="147" t="s">
        <v>334</v>
      </c>
      <c r="C10" s="160" t="str">
        <f>"Table 5, Line "&amp;TEXT('T-5'!A65,"0")&amp;" "&amp;'T-5'!P3</f>
        <v>Table 5, Line 61 (O)</v>
      </c>
      <c r="D10" s="225"/>
      <c r="E10" s="165">
        <f>'T-5'!P65</f>
        <v>13.872142009978921</v>
      </c>
      <c r="F10" s="225"/>
      <c r="G10" s="91"/>
    </row>
    <row r="11" spans="1:7" ht="15" customHeight="1">
      <c r="A11" s="85">
        <f>MAX($A$4:A10)+1</f>
        <v>7</v>
      </c>
      <c r="B11" s="147" t="s">
        <v>38</v>
      </c>
      <c r="C11" s="160" t="str">
        <f>"Table 5, Line "&amp;TEXT('T-5'!A66,"0")&amp;" "&amp;'T-5'!P3</f>
        <v>Table 5, Line 62 (O)</v>
      </c>
      <c r="D11" s="225"/>
      <c r="E11" s="165">
        <f>'T-5'!P66</f>
        <v>220.45753424657536</v>
      </c>
      <c r="F11" s="225"/>
    </row>
    <row r="12" spans="1:7" ht="15" customHeight="1">
      <c r="A12" s="85">
        <f>MAX($A$4:A11)+1</f>
        <v>8</v>
      </c>
      <c r="B12" s="213" t="s">
        <v>149</v>
      </c>
      <c r="C12" s="160"/>
      <c r="D12" s="161"/>
      <c r="E12" s="228"/>
      <c r="F12" s="225"/>
    </row>
    <row r="13" spans="1:7" ht="15" customHeight="1">
      <c r="A13" s="85">
        <f>MAX($A$4:A12)+1</f>
        <v>9</v>
      </c>
      <c r="B13" s="147" t="s">
        <v>333</v>
      </c>
      <c r="C13" s="224" t="str">
        <f>"Line "&amp;TEXT(A8,"0")</f>
        <v>Line 4</v>
      </c>
      <c r="D13" s="225"/>
      <c r="E13" s="594">
        <f>E8</f>
        <v>6991.1388888888896</v>
      </c>
      <c r="F13" s="225"/>
    </row>
    <row r="14" spans="1:7" ht="15" customHeight="1">
      <c r="A14" s="85">
        <f>MAX($A$4:A13)+1</f>
        <v>10</v>
      </c>
      <c r="B14" s="147" t="s">
        <v>47</v>
      </c>
      <c r="C14" s="222" t="str">
        <f>"Line "&amp;TEXT(A9,"0")&amp;" x (7/5)"</f>
        <v>Line 5 x (7/5)</v>
      </c>
      <c r="D14" s="225"/>
      <c r="E14" s="594">
        <f>E9*7/5</f>
        <v>20.245662100456595</v>
      </c>
      <c r="F14" s="225"/>
    </row>
    <row r="15" spans="1:7" ht="15" customHeight="1">
      <c r="A15" s="85">
        <f>MAX($A$4:A14)+1</f>
        <v>11</v>
      </c>
      <c r="B15" s="147" t="s">
        <v>48</v>
      </c>
      <c r="C15" s="222" t="str">
        <f>"Line "&amp;TEXT(A10,"0")</f>
        <v>Line 6</v>
      </c>
      <c r="D15" s="225"/>
      <c r="E15" s="594">
        <f>E10</f>
        <v>13.872142009978921</v>
      </c>
      <c r="F15" s="225"/>
    </row>
    <row r="16" spans="1:7" ht="15" customHeight="1">
      <c r="A16" s="85">
        <f>MAX($A$4:A15)+1</f>
        <v>12</v>
      </c>
      <c r="B16" s="147" t="s">
        <v>38</v>
      </c>
      <c r="C16" s="222" t="str">
        <f>"Line "&amp;TEXT(A11,"0")&amp;" x (7/5) x (24/5)"</f>
        <v>Line 7 x (7/5) x (24/5)</v>
      </c>
      <c r="D16" s="225"/>
      <c r="E16" s="236">
        <f>E11*7/5*24/5</f>
        <v>1481.4746301369864</v>
      </c>
      <c r="F16" s="225"/>
    </row>
    <row r="17" spans="1:7" ht="15" customHeight="1">
      <c r="A17" s="85">
        <f>MAX($A$4:A16)+1</f>
        <v>13</v>
      </c>
      <c r="B17" s="100" t="s">
        <v>147</v>
      </c>
      <c r="C17" s="87" t="str">
        <f>"Sum of Line "&amp;TEXT(A13,"0")&amp;" through Line "&amp;TEXT(A16,"0")</f>
        <v>Sum of Line 9 through Line 12</v>
      </c>
      <c r="D17" s="225"/>
      <c r="E17" s="165">
        <f>SUM(E13:E16)</f>
        <v>8506.7313231363114</v>
      </c>
      <c r="F17" s="225"/>
    </row>
    <row r="18" spans="1:7" ht="15" customHeight="1">
      <c r="A18" s="85">
        <f>MAX($A$4:A17)+1</f>
        <v>14</v>
      </c>
      <c r="B18" s="213" t="s">
        <v>154</v>
      </c>
      <c r="C18" s="88"/>
      <c r="D18" s="88"/>
      <c r="E18" s="225"/>
      <c r="F18" s="225"/>
    </row>
    <row r="19" spans="1:7" ht="15" customHeight="1">
      <c r="A19" s="85">
        <f>MAX($A$4:A18)+1</f>
        <v>15</v>
      </c>
      <c r="B19" s="147" t="s">
        <v>151</v>
      </c>
      <c r="C19" s="160" t="str">
        <f>"Line "&amp;TEXT(A6,"0")&amp;" / Line "&amp;TEXT(A17,"0")</f>
        <v>Line 2 / Line 13</v>
      </c>
      <c r="D19" s="225"/>
      <c r="E19" s="225"/>
      <c r="F19" s="226">
        <f>D6/E17</f>
        <v>14.241400922129285</v>
      </c>
      <c r="G19" s="84" t="str">
        <f ca="1">_xlfn.FORMULATEXT(F19)</f>
        <v>=D6/E17</v>
      </c>
    </row>
    <row r="20" spans="1:7" ht="15" customHeight="1">
      <c r="A20" s="85">
        <f>MAX($A$4:A19)+1</f>
        <v>16</v>
      </c>
      <c r="B20" s="147" t="s">
        <v>152</v>
      </c>
      <c r="C20" s="160" t="str">
        <f>"Line "&amp;TEXT(A19,"0")&amp;" / (12)"</f>
        <v>Line 15 / (12)</v>
      </c>
      <c r="D20" s="225"/>
      <c r="E20" s="225"/>
      <c r="F20" s="596">
        <f>ROUND(F19/12,3)</f>
        <v>1.1870000000000001</v>
      </c>
      <c r="G20" s="84" t="str">
        <f ca="1">_xlfn.FORMULATEXT(F20)</f>
        <v>=ROUND(F19/12,3)</v>
      </c>
    </row>
    <row r="21" spans="1:7" ht="15" customHeight="1">
      <c r="A21" s="85">
        <f>MAX($A$4:A20)+1</f>
        <v>17</v>
      </c>
      <c r="B21" s="147" t="s">
        <v>327</v>
      </c>
      <c r="C21" s="160" t="str">
        <f>"Line "&amp;TEXT(A19,"0")&amp;" / 365 x (7/5)"</f>
        <v>Line 15 / 365 x (7/5)</v>
      </c>
      <c r="D21" s="225"/>
      <c r="E21" s="225"/>
      <c r="F21" s="596">
        <f>ROUND(F19/365*7/5,3)</f>
        <v>5.5E-2</v>
      </c>
      <c r="G21" s="84" t="str">
        <f ca="1">_xlfn.FORMULATEXT(F21)</f>
        <v>=ROUND(F19/365*7/5,3)</v>
      </c>
    </row>
    <row r="22" spans="1:7" ht="15" customHeight="1">
      <c r="A22" s="85">
        <f>MAX($A$4:A21)+1</f>
        <v>18</v>
      </c>
      <c r="B22" s="147" t="s">
        <v>328</v>
      </c>
      <c r="C22" s="160" t="str">
        <f>"Line "&amp;TEXT(A19,"0")&amp;" / 365"</f>
        <v>Line 15 / 365</v>
      </c>
      <c r="D22" s="225"/>
      <c r="E22" s="225"/>
      <c r="F22" s="596">
        <f>ROUND(F19/365,3)</f>
        <v>3.9E-2</v>
      </c>
      <c r="G22" s="84" t="str">
        <f ca="1">_xlfn.FORMULATEXT(F22)</f>
        <v>=ROUND(F19/365,3)</v>
      </c>
    </row>
    <row r="23" spans="1:7" ht="15" customHeight="1">
      <c r="A23" s="85">
        <f>MAX($A$4:A22)+1</f>
        <v>19</v>
      </c>
      <c r="B23" s="147" t="s">
        <v>153</v>
      </c>
      <c r="C23" s="87" t="str">
        <f>"Line "&amp;TEXT(A19,"0")&amp;" / 8.76 x (7/5) x (24/5)"</f>
        <v>Line 15 / 8.76 x (7/5) x (24/5)</v>
      </c>
      <c r="D23" s="225"/>
      <c r="E23" s="225"/>
      <c r="F23" s="226">
        <f>ROUND(F19/8.76*7/5*24/5,2)</f>
        <v>10.92</v>
      </c>
      <c r="G23" s="84" t="str">
        <f ca="1">_xlfn.FORMULATEXT(F23)</f>
        <v>=ROUND(F19/8.76*7/5*24/5,2)</v>
      </c>
    </row>
    <row r="24" spans="1:7" ht="15" customHeight="1">
      <c r="A24" s="85">
        <f>MAX($A$4:A23)+1</f>
        <v>20</v>
      </c>
      <c r="B24" s="159" t="s">
        <v>219</v>
      </c>
      <c r="C24" s="88"/>
      <c r="D24" s="88"/>
      <c r="E24" s="225"/>
      <c r="F24" s="225"/>
    </row>
    <row r="25" spans="1:7" ht="15" customHeight="1">
      <c r="A25" s="85">
        <f>MAX($A$4:A24)+1</f>
        <v>21</v>
      </c>
      <c r="B25" s="156" t="s">
        <v>166</v>
      </c>
      <c r="C25" s="87" t="s">
        <v>167</v>
      </c>
      <c r="D25" s="228">
        <f>12535.613</f>
        <v>12535.612999999999</v>
      </c>
      <c r="E25" s="226"/>
      <c r="F25" s="226"/>
    </row>
    <row r="26" spans="1:7" ht="15" customHeight="1">
      <c r="A26" s="85">
        <f>MAX($A$4:A25)+1</f>
        <v>22</v>
      </c>
      <c r="B26" s="227" t="s">
        <v>112</v>
      </c>
      <c r="C26" s="87" t="str">
        <f>"Table 4, Line "&amp;TEXT('T-4'!A76,"0")&amp;" "&amp;'T-4'!P3</f>
        <v>Table 4, Line 72 (O)</v>
      </c>
      <c r="D26" s="225"/>
      <c r="E26" s="228">
        <f>'T-4'!P76</f>
        <v>745.94444444444446</v>
      </c>
      <c r="F26" s="226"/>
    </row>
    <row r="27" spans="1:7" ht="15" customHeight="1">
      <c r="A27" s="85">
        <f>MAX($A$4:A26)+1</f>
        <v>23</v>
      </c>
      <c r="B27" s="227" t="s">
        <v>165</v>
      </c>
      <c r="C27" s="87" t="s">
        <v>167</v>
      </c>
      <c r="D27" s="225"/>
      <c r="E27" s="228">
        <f>1730*(2/3)</f>
        <v>1153.3333333333333</v>
      </c>
      <c r="F27" s="226"/>
    </row>
    <row r="28" spans="1:7" ht="15" customHeight="1">
      <c r="A28" s="85">
        <f>MAX($A$4:A27)+1</f>
        <v>24</v>
      </c>
      <c r="B28" s="227" t="s">
        <v>168</v>
      </c>
      <c r="C28" s="160" t="str">
        <f>"Line "&amp;TEXT(A26,"0")&amp;" + Line "&amp;TEXT(A27,"0")</f>
        <v>Line 22 + Line 23</v>
      </c>
      <c r="D28" s="225"/>
      <c r="E28" s="229">
        <f>SUM(E26:E27)</f>
        <v>1899.2777777777778</v>
      </c>
      <c r="F28" s="226"/>
    </row>
    <row r="29" spans="1:7" ht="15" customHeight="1">
      <c r="A29" s="85">
        <f>MAX($A$4:A28)+1</f>
        <v>25</v>
      </c>
      <c r="B29" s="156" t="s">
        <v>169</v>
      </c>
      <c r="C29" s="160" t="str">
        <f>"Line "&amp;TEXT(A25,"0")&amp;" x (Line "&amp;TEXT(A26,"0")&amp;" / Line "&amp;TEXT(A28,"0")&amp;")"</f>
        <v>Line 21 x (Line 22 / Line 24)</v>
      </c>
      <c r="D29" s="238">
        <f>D25*E26/E28</f>
        <v>4923.3824480358026</v>
      </c>
      <c r="E29" s="225"/>
      <c r="F29" s="225"/>
    </row>
    <row r="30" spans="1:7" ht="15" customHeight="1">
      <c r="A30" s="85">
        <f>MAX($A$4:A29)+1</f>
        <v>26</v>
      </c>
      <c r="B30" s="163" t="s">
        <v>151</v>
      </c>
      <c r="C30" s="160" t="str">
        <f>"Line "&amp;TEXT(A29,"0")&amp;" / Line "&amp;TEXT(A26,"0")</f>
        <v>Line 25 / Line 22</v>
      </c>
      <c r="D30" s="225"/>
      <c r="E30" s="225"/>
      <c r="F30" s="226">
        <f>D29/E26</f>
        <v>6.6001999005469907</v>
      </c>
      <c r="G30" s="84" t="str">
        <f ca="1">_xlfn.FORMULATEXT(F30)</f>
        <v>=D29/E26</v>
      </c>
    </row>
    <row r="31" spans="1:7" ht="15" customHeight="1">
      <c r="A31" s="85">
        <f>MAX($A$4:A30)+1</f>
        <v>27</v>
      </c>
      <c r="B31" s="163" t="s">
        <v>152</v>
      </c>
      <c r="C31" s="160" t="str">
        <f>"Line "&amp;TEXT(A30,"0")&amp;" / 12"</f>
        <v>Line 26 / 12</v>
      </c>
      <c r="D31" s="225"/>
      <c r="E31" s="225"/>
      <c r="F31" s="596">
        <f>ROUND(F30/12,3)</f>
        <v>0.55000000000000004</v>
      </c>
      <c r="G31" s="84" t="str">
        <f ca="1">_xlfn.FORMULATEXT(F31)</f>
        <v>=ROUND(F30/12,3)</v>
      </c>
    </row>
    <row r="32" spans="1:7" ht="15" customHeight="1">
      <c r="A32" s="85">
        <f>MAX($A$4:A31)+1</f>
        <v>28</v>
      </c>
      <c r="B32" s="159" t="s">
        <v>156</v>
      </c>
      <c r="C32" s="88"/>
      <c r="D32" s="88"/>
      <c r="E32" s="225"/>
      <c r="F32" s="225"/>
    </row>
    <row r="33" spans="1:7" ht="15" customHeight="1">
      <c r="A33" s="85">
        <f>MAX($A$4:A32)+1</f>
        <v>29</v>
      </c>
      <c r="B33" s="156" t="s">
        <v>222</v>
      </c>
      <c r="C33" s="87" t="str">
        <f>"Table 1, Line "&amp;TEXT('T-1'!A46,"0")&amp;" "&amp;'T-1'!G4</f>
        <v>Table 1, Line 36 (F)</v>
      </c>
      <c r="D33" s="165">
        <f>'T-1'!G46</f>
        <v>13268.58867107838</v>
      </c>
      <c r="E33" s="225"/>
      <c r="F33" s="225"/>
    </row>
    <row r="34" spans="1:7" ht="15" customHeight="1">
      <c r="A34" s="85">
        <f>MAX($A$4:A33)+1</f>
        <v>30</v>
      </c>
      <c r="B34" s="156" t="s">
        <v>220</v>
      </c>
      <c r="C34" s="87" t="str">
        <f>"Table 2, (Line "&amp;TEXT('T-2'!A118,"0")&amp;" "&amp;TEXT('T-2'!F92,"0")&amp;" + Line "&amp;TEXT('T-2'!A146,"0")&amp;" "&amp;TEXT('T-2'!F92,"0")&amp;") / 2"</f>
        <v>Table 2, (Line 71 (E) + Line 95 (E)) / 2</v>
      </c>
      <c r="D34" s="597">
        <f>-AVERAGE('T-2'!F118,'T-2'!F146,'T-2'!F174)</f>
        <v>-839.91021228657507</v>
      </c>
      <c r="E34" s="225"/>
      <c r="F34" s="225"/>
    </row>
    <row r="35" spans="1:7" ht="15" customHeight="1">
      <c r="A35" s="85">
        <f>MAX($A$4:A34)+1</f>
        <v>31</v>
      </c>
      <c r="B35" s="163" t="s">
        <v>223</v>
      </c>
      <c r="C35" s="87" t="str">
        <f>"Line "&amp;TEXT(A33,"0")&amp;" + Line "&amp;TEXT(A34,"0")</f>
        <v>Line 29 + Line 30</v>
      </c>
      <c r="D35" s="165">
        <f>SUM(D33:D34)</f>
        <v>12428.678458791805</v>
      </c>
      <c r="E35" s="225"/>
      <c r="F35" s="225"/>
    </row>
    <row r="36" spans="1:7" ht="15" customHeight="1">
      <c r="A36" s="85">
        <f>MAX($A$4:A35)+1</f>
        <v>32</v>
      </c>
      <c r="B36" s="230" t="s">
        <v>112</v>
      </c>
      <c r="C36" s="87" t="str">
        <f>"Table 4, Line "&amp;TEXT('T-4'!A76,"0")&amp;" "&amp;'T-4'!P3</f>
        <v>Table 4, Line 72 (O)</v>
      </c>
      <c r="D36" s="225"/>
      <c r="E36" s="228">
        <f>'T-4'!P76</f>
        <v>745.94444444444446</v>
      </c>
      <c r="F36" s="226"/>
    </row>
    <row r="37" spans="1:7" ht="15" customHeight="1">
      <c r="A37" s="85">
        <f>MAX($A$4:A36)+1</f>
        <v>33</v>
      </c>
      <c r="B37" s="230" t="s">
        <v>165</v>
      </c>
      <c r="C37" s="87" t="s">
        <v>167</v>
      </c>
      <c r="D37" s="225"/>
      <c r="E37" s="228">
        <f>1730*(2/3)</f>
        <v>1153.3333333333333</v>
      </c>
      <c r="F37" s="226"/>
    </row>
    <row r="38" spans="1:7" ht="15" customHeight="1">
      <c r="A38" s="85">
        <f>MAX($A$4:A37)+1</f>
        <v>34</v>
      </c>
      <c r="B38" s="227" t="s">
        <v>168</v>
      </c>
      <c r="C38" s="160" t="str">
        <f>"Line "&amp;TEXT(A36,"0")&amp;" + Line "&amp;TEXT(A37,"0")</f>
        <v>Line 32 + Line 33</v>
      </c>
      <c r="D38" s="225"/>
      <c r="E38" s="229">
        <f>SUM(E36:E37)</f>
        <v>1899.2777777777778</v>
      </c>
      <c r="F38" s="226"/>
    </row>
    <row r="39" spans="1:7" ht="15" customHeight="1">
      <c r="A39" s="85">
        <f>MAX($A$4:A38)+1</f>
        <v>35</v>
      </c>
      <c r="B39" s="239" t="s">
        <v>151</v>
      </c>
      <c r="C39" s="160" t="str">
        <f>"Line "&amp;TEXT(A35,"0")&amp;" / Line "&amp;TEXT(A38,"0")</f>
        <v>Line 31 / Line 34</v>
      </c>
      <c r="D39" s="225"/>
      <c r="E39" s="225"/>
      <c r="F39" s="226">
        <f>D35/E38</f>
        <v>6.5438971614430184</v>
      </c>
      <c r="G39" s="84" t="str">
        <f ca="1">_xlfn.FORMULATEXT(F39)</f>
        <v>=D35/E38</v>
      </c>
    </row>
    <row r="40" spans="1:7" ht="15" customHeight="1">
      <c r="A40" s="85">
        <f>MAX($A$4:A39)+1</f>
        <v>36</v>
      </c>
      <c r="B40" s="239" t="s">
        <v>152</v>
      </c>
      <c r="C40" s="160" t="str">
        <f>"Line "&amp;TEXT(A39,"0")&amp;" / 12"</f>
        <v>Line 35 / 12</v>
      </c>
      <c r="D40" s="225"/>
      <c r="E40" s="225"/>
      <c r="F40" s="596">
        <f>ROUND(F39/12,3)</f>
        <v>0.54500000000000004</v>
      </c>
      <c r="G40" s="84" t="str">
        <f ca="1">_xlfn.FORMULATEXT(F40)</f>
        <v>=ROUND(F39/12,3)</v>
      </c>
    </row>
    <row r="41" spans="1:7" ht="15" customHeight="1">
      <c r="A41" s="85">
        <f>MAX($A$4:A40)+1</f>
        <v>37</v>
      </c>
      <c r="B41" s="239" t="s">
        <v>327</v>
      </c>
      <c r="C41" s="160" t="str">
        <f>"Line "&amp;TEXT(A39,"0")&amp;" / 365 x (7/5)"</f>
        <v>Line 35 / 365 x (7/5)</v>
      </c>
      <c r="D41" s="225"/>
      <c r="E41" s="225"/>
      <c r="F41" s="596">
        <f>ROUND(F39/365*7/5,3)</f>
        <v>2.5000000000000001E-2</v>
      </c>
      <c r="G41" s="84" t="str">
        <f ca="1">_xlfn.FORMULATEXT(F41)</f>
        <v>=ROUND(F39/365*7/5,3)</v>
      </c>
    </row>
    <row r="42" spans="1:7" ht="15" customHeight="1">
      <c r="A42" s="85">
        <f>MAX($A$4:A41)+1</f>
        <v>38</v>
      </c>
      <c r="B42" s="239" t="s">
        <v>328</v>
      </c>
      <c r="C42" s="160" t="str">
        <f>"Line "&amp;TEXT(A39,"0")&amp;" / 365"</f>
        <v>Line 35 / 365</v>
      </c>
      <c r="D42" s="225"/>
      <c r="E42" s="225"/>
      <c r="F42" s="596">
        <f>ROUND(F39/365,3)</f>
        <v>1.7999999999999999E-2</v>
      </c>
      <c r="G42" s="84" t="str">
        <f ca="1">_xlfn.FORMULATEXT(F42)</f>
        <v>=ROUND(F39/365,3)</v>
      </c>
    </row>
    <row r="43" spans="1:7" ht="15" customHeight="1">
      <c r="A43" s="85">
        <f>MAX($A$4:A42)+1</f>
        <v>39</v>
      </c>
      <c r="B43" s="239" t="s">
        <v>153</v>
      </c>
      <c r="C43" s="87" t="str">
        <f>"Line "&amp;TEXT(A39,"0")&amp;" / 8.76 x (7/5) x (24/16)"</f>
        <v>Line 35 / 8.76 x (7/5) x (24/16)</v>
      </c>
      <c r="D43" s="225"/>
      <c r="E43" s="225"/>
      <c r="F43" s="226">
        <f>ROUND(F39/8.76*7/5*24/16,2)</f>
        <v>1.57</v>
      </c>
      <c r="G43" s="84" t="str">
        <f ca="1">_xlfn.FORMULATEXT(F43)</f>
        <v>=ROUND(F39/8.76*7/5*24/16,2)</v>
      </c>
    </row>
    <row r="44" spans="1:7" ht="15" customHeight="1">
      <c r="A44" s="85">
        <f>MAX($A$4:A43)+1</f>
        <v>40</v>
      </c>
      <c r="B44" s="230" t="s">
        <v>113</v>
      </c>
      <c r="C44" s="160" t="str">
        <f>"Line "&amp;TEXT(A36,"0")&amp;" x Line "&amp;TEXT(A39,"0")</f>
        <v>Line 32 x Line 35</v>
      </c>
      <c r="D44" s="225"/>
      <c r="E44" s="228">
        <f>E36*F39</f>
        <v>4881.3837325941895</v>
      </c>
      <c r="F44" s="226"/>
    </row>
    <row r="45" spans="1:7" ht="15" customHeight="1">
      <c r="A45" s="85">
        <f>MAX($A$4:A44)+1</f>
        <v>41</v>
      </c>
      <c r="B45" s="159" t="s">
        <v>129</v>
      </c>
      <c r="C45" s="88"/>
      <c r="D45" s="88"/>
      <c r="E45" s="225"/>
      <c r="F45" s="225"/>
    </row>
    <row r="46" spans="1:7" ht="15" customHeight="1">
      <c r="A46" s="85">
        <f>MAX($A$4:A45)+1</f>
        <v>42</v>
      </c>
      <c r="B46" s="156" t="s">
        <v>222</v>
      </c>
      <c r="C46" s="160" t="str">
        <f>"Table 1, Line "&amp;TEXT('T-1'!A46,"0")&amp;" "&amp;'T-1'!G4</f>
        <v>Table 1, Line 36 (F)</v>
      </c>
      <c r="D46" s="165">
        <f>'T-1'!G46</f>
        <v>13268.58867107838</v>
      </c>
      <c r="E46" s="225"/>
      <c r="F46" s="225"/>
    </row>
    <row r="47" spans="1:7" ht="15" customHeight="1">
      <c r="A47" s="85">
        <f>MAX($A$4:A46)+1</f>
        <v>43</v>
      </c>
      <c r="B47" s="156" t="s">
        <v>220</v>
      </c>
      <c r="C47" s="160" t="str">
        <f>"Table 2, (Line "&amp;TEXT('T-2'!A118,"0")&amp;" "&amp;TEXT('T-2'!F92,"0")&amp;" + Line "&amp;TEXT('T-2'!A146,"0")&amp;" "&amp;TEXT('T-2'!F92,"0")&amp;") / 2"</f>
        <v>Table 2, (Line 71 (E) + Line 95 (E)) / 2</v>
      </c>
      <c r="D47" s="597">
        <f>-AVERAGE('T-2'!F118,'T-2'!F146,'T-2'!F174)</f>
        <v>-839.91021228657507</v>
      </c>
      <c r="E47" s="225"/>
      <c r="F47" s="225"/>
    </row>
    <row r="48" spans="1:7" ht="15" customHeight="1">
      <c r="A48" s="85">
        <f>MAX($A$4:A47)+1</f>
        <v>44</v>
      </c>
      <c r="B48" s="156" t="s">
        <v>223</v>
      </c>
      <c r="C48" s="87" t="str">
        <f>"Line "&amp;TEXT(A46,"0")&amp;" + Line "&amp;TEXT(A47,"0")</f>
        <v>Line 42 + Line 43</v>
      </c>
      <c r="D48" s="165">
        <f>SUM(D46:D47)</f>
        <v>12428.678458791805</v>
      </c>
      <c r="E48" s="225"/>
      <c r="F48" s="225"/>
    </row>
    <row r="49" spans="1:7" ht="15" customHeight="1">
      <c r="A49" s="85">
        <f>MAX($A$4:A48)+1</f>
        <v>45</v>
      </c>
      <c r="B49" s="227" t="s">
        <v>300</v>
      </c>
      <c r="C49" s="87" t="s">
        <v>167</v>
      </c>
      <c r="D49" s="225"/>
      <c r="E49" s="228">
        <f>1930</f>
        <v>1930</v>
      </c>
      <c r="F49" s="225"/>
    </row>
    <row r="50" spans="1:7" ht="15" customHeight="1">
      <c r="A50" s="85">
        <f>MAX($A$4:A49)+1</f>
        <v>46</v>
      </c>
      <c r="B50" s="230" t="s">
        <v>168</v>
      </c>
      <c r="C50" s="160" t="str">
        <f>"Line "&amp;TEXT(A49,"0")</f>
        <v>Line 45</v>
      </c>
      <c r="D50" s="225"/>
      <c r="E50" s="229">
        <f>SUM(E49:E49)</f>
        <v>1930</v>
      </c>
      <c r="F50" s="225"/>
    </row>
    <row r="51" spans="1:7" ht="15" customHeight="1">
      <c r="A51" s="85">
        <f>MAX($A$4:A50)+1</f>
        <v>47</v>
      </c>
      <c r="B51" s="100" t="s">
        <v>164</v>
      </c>
      <c r="C51" s="160" t="str">
        <f>"Line "&amp;TEXT(A48,"0")&amp;" / Line "&amp;TEXT(A50,"0")&amp;" / 8.76 x (7/5) x (24/16)"</f>
        <v>Line 44 / Line 46 / 8.76 x (7/5) x (24/16)</v>
      </c>
      <c r="D51" s="225"/>
      <c r="E51" s="225"/>
      <c r="F51" s="226">
        <f>ROUND(D48/E50/8.76*7/5*24/16,2)</f>
        <v>1.54</v>
      </c>
      <c r="G51" s="84" t="str">
        <f ca="1">_xlfn.FORMULATEXT(F51)</f>
        <v>=ROUND(D48/E50/8.76*7/5*24/16,2)</v>
      </c>
    </row>
    <row r="52" spans="1:7" s="146" customFormat="1" ht="15" customHeight="1">
      <c r="A52" s="231"/>
      <c r="B52" s="232"/>
    </row>
    <row r="53" spans="1:7" s="146" customFormat="1" ht="14.25">
      <c r="A53" s="237"/>
      <c r="B53" s="84"/>
    </row>
    <row r="54" spans="1:7" s="146" customFormat="1" ht="14.25">
      <c r="A54" s="231"/>
      <c r="B54" s="84"/>
    </row>
    <row r="55" spans="1:7" s="146" customFormat="1" ht="14.25">
      <c r="A55" s="231"/>
      <c r="B55" s="84"/>
    </row>
    <row r="56" spans="1:7" ht="14.25">
      <c r="B56" s="84"/>
      <c r="C56" s="84"/>
      <c r="D56" s="84"/>
      <c r="E56" s="84"/>
    </row>
    <row r="57" spans="1:7" ht="14.25">
      <c r="B57" s="84"/>
      <c r="C57" s="84"/>
      <c r="D57" s="84"/>
      <c r="E57" s="84"/>
    </row>
    <row r="58" spans="1:7" ht="14.25">
      <c r="B58" s="84"/>
      <c r="C58" s="84"/>
      <c r="D58" s="84"/>
      <c r="E58" s="84"/>
    </row>
    <row r="59" spans="1:7" ht="14.25">
      <c r="B59" s="84"/>
      <c r="C59" s="84"/>
      <c r="D59" s="84"/>
      <c r="E59" s="84"/>
    </row>
    <row r="60" spans="1:7" ht="14.25">
      <c r="B60" s="84"/>
      <c r="C60" s="84"/>
      <c r="D60" s="84"/>
      <c r="E60" s="84"/>
    </row>
    <row r="61" spans="1:7" ht="14.25">
      <c r="B61" s="84"/>
      <c r="C61" s="84"/>
      <c r="D61" s="84"/>
      <c r="E61" s="84"/>
    </row>
    <row r="62" spans="1:7" ht="14.25">
      <c r="B62" s="233"/>
      <c r="C62" s="233"/>
      <c r="D62" s="233"/>
      <c r="E62" s="233"/>
    </row>
    <row r="63" spans="1:7" ht="14.25">
      <c r="B63" s="84"/>
      <c r="C63" s="84"/>
      <c r="D63" s="233"/>
      <c r="E63" s="233"/>
    </row>
    <row r="64" spans="1:7" ht="14.25">
      <c r="B64" s="84"/>
      <c r="C64" s="84"/>
      <c r="D64" s="233"/>
      <c r="E64" s="233"/>
    </row>
    <row r="65" spans="2:5" ht="14.25">
      <c r="B65" s="84"/>
      <c r="C65" s="84"/>
      <c r="D65" s="233"/>
      <c r="E65" s="233"/>
    </row>
    <row r="66" spans="2:5" ht="14.25">
      <c r="B66" s="84"/>
      <c r="C66" s="84"/>
      <c r="D66" s="233"/>
      <c r="E66" s="233"/>
    </row>
  </sheetData>
  <mergeCells count="2">
    <mergeCell ref="A1:F1"/>
    <mergeCell ref="A2:F2"/>
  </mergeCells>
  <phoneticPr fontId="49" type="noConversion"/>
  <conditionalFormatting sqref="G19:G23">
    <cfRule type="containsText" dxfId="33" priority="4" operator="containsText" text="UP">
      <formula>NOT(ISERROR(SEARCH("UP",G19)))</formula>
    </cfRule>
  </conditionalFormatting>
  <conditionalFormatting sqref="G30:G31">
    <cfRule type="containsText" dxfId="32" priority="3" operator="containsText" text="UP">
      <formula>NOT(ISERROR(SEARCH("UP",G30)))</formula>
    </cfRule>
  </conditionalFormatting>
  <conditionalFormatting sqref="G39:G43">
    <cfRule type="containsText" dxfId="31" priority="2" operator="containsText" text="UP">
      <formula>NOT(ISERROR(SEARCH("UP",G39)))</formula>
    </cfRule>
  </conditionalFormatting>
  <conditionalFormatting sqref="G51">
    <cfRule type="containsText" dxfId="30" priority="1" operator="containsText" text="UP">
      <formula>NOT(ISERROR(SEARCH("UP",G51)))</formula>
    </cfRule>
  </conditionalFormatting>
  <printOptions horizontalCentered="1"/>
  <pageMargins left="0.5" right="0.5" top="1" bottom="1" header="0.5" footer="0.5"/>
  <pageSetup scale="55" fitToHeight="0" orientation="landscape" blackAndWhite="1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70">
    <tabColor theme="3" tint="0.79998168889431442"/>
  </sheetPr>
  <dimension ref="A1:XCS64"/>
  <sheetViews>
    <sheetView zoomScaleNormal="100" workbookViewId="0">
      <pane ySplit="4" topLeftCell="A5" activePane="bottomLeft" state="frozen"/>
      <selection activeCell="B52" sqref="B52"/>
      <selection pane="bottomLeft" sqref="A1:K1"/>
    </sheetView>
  </sheetViews>
  <sheetFormatPr defaultColWidth="9.28515625" defaultRowHeight="14.25"/>
  <cols>
    <col min="1" max="1" width="4.28515625" style="271" customWidth="1"/>
    <col min="2" max="2" width="60" style="244" customWidth="1"/>
    <col min="3" max="3" width="45.7109375" style="244" customWidth="1"/>
    <col min="4" max="13" width="17.140625" style="244" customWidth="1"/>
    <col min="14" max="16384" width="9.28515625" style="244"/>
  </cols>
  <sheetData>
    <row r="1" spans="1:13" s="272" customFormat="1" ht="18.75" customHeight="1">
      <c r="A1" s="537" t="s">
        <v>440</v>
      </c>
      <c r="B1" s="537"/>
      <c r="C1" s="537"/>
      <c r="D1" s="537"/>
      <c r="E1" s="537"/>
      <c r="F1" s="537"/>
      <c r="G1" s="537"/>
      <c r="H1" s="537"/>
      <c r="I1" s="537"/>
      <c r="J1" s="537"/>
      <c r="K1" s="537"/>
    </row>
    <row r="2" spans="1:13" s="272" customFormat="1" ht="18.75" customHeight="1">
      <c r="A2" s="537" t="s">
        <v>159</v>
      </c>
      <c r="B2" s="537"/>
      <c r="C2" s="537"/>
      <c r="D2" s="537"/>
      <c r="E2" s="537"/>
      <c r="F2" s="537"/>
      <c r="G2" s="537"/>
      <c r="H2" s="537"/>
      <c r="I2" s="537"/>
      <c r="J2" s="537"/>
      <c r="K2" s="537"/>
    </row>
    <row r="3" spans="1:13" ht="15" customHeight="1">
      <c r="A3" s="89"/>
      <c r="B3" s="292" t="s">
        <v>0</v>
      </c>
      <c r="C3" s="83" t="s">
        <v>1</v>
      </c>
      <c r="D3" s="208" t="s">
        <v>2</v>
      </c>
      <c r="E3" s="83" t="s">
        <v>3</v>
      </c>
      <c r="F3" s="83" t="s">
        <v>4</v>
      </c>
      <c r="G3" s="243" t="s">
        <v>5</v>
      </c>
      <c r="H3" s="243" t="s">
        <v>6</v>
      </c>
      <c r="I3" s="83" t="s">
        <v>7</v>
      </c>
      <c r="J3" s="243" t="s">
        <v>32</v>
      </c>
      <c r="K3" s="243" t="s">
        <v>33</v>
      </c>
      <c r="M3" s="245"/>
    </row>
    <row r="4" spans="1:13" ht="15" customHeight="1">
      <c r="A4" s="89"/>
      <c r="B4" s="209" t="s">
        <v>479</v>
      </c>
      <c r="C4" s="210" t="s">
        <v>30</v>
      </c>
      <c r="D4" s="210" t="s">
        <v>448</v>
      </c>
      <c r="E4" s="210" t="s">
        <v>449</v>
      </c>
      <c r="F4" s="210" t="s">
        <v>450</v>
      </c>
      <c r="G4" s="210" t="s">
        <v>451</v>
      </c>
      <c r="H4" s="210" t="s">
        <v>35</v>
      </c>
      <c r="I4" s="210" t="s">
        <v>196</v>
      </c>
      <c r="J4" s="210" t="s">
        <v>46</v>
      </c>
      <c r="K4" s="210" t="s">
        <v>44</v>
      </c>
      <c r="M4" s="80"/>
    </row>
    <row r="5" spans="1:13" ht="15" customHeight="1">
      <c r="A5" s="85">
        <f>MAX($A$4:A4)+1</f>
        <v>1</v>
      </c>
      <c r="B5" s="249" t="s">
        <v>160</v>
      </c>
      <c r="C5" s="243"/>
      <c r="D5" s="166" t="s">
        <v>130</v>
      </c>
      <c r="E5" s="166" t="s">
        <v>130</v>
      </c>
      <c r="F5" s="166" t="s">
        <v>130</v>
      </c>
      <c r="G5" s="166" t="s">
        <v>130</v>
      </c>
      <c r="H5" s="248" t="s">
        <v>103</v>
      </c>
      <c r="I5" s="248"/>
      <c r="J5" s="248"/>
      <c r="K5" s="248"/>
      <c r="M5" s="80"/>
    </row>
    <row r="6" spans="1:13" ht="15" customHeight="1">
      <c r="A6" s="85">
        <f>MAX($A$4:A5)+1</f>
        <v>2</v>
      </c>
      <c r="B6" s="252" t="s">
        <v>86</v>
      </c>
      <c r="C6" s="246" t="s">
        <v>99</v>
      </c>
      <c r="D6" s="264">
        <v>88925.228040000002</v>
      </c>
      <c r="E6" s="264">
        <v>93157.124250000023</v>
      </c>
      <c r="F6" s="264">
        <v>97898.824090000009</v>
      </c>
      <c r="G6" s="264">
        <f>AVERAGE(D6:F6)</f>
        <v>93327.058793333345</v>
      </c>
      <c r="H6" s="256"/>
      <c r="I6" s="256"/>
      <c r="J6" s="256"/>
      <c r="K6" s="248"/>
    </row>
    <row r="7" spans="1:13" ht="15" customHeight="1">
      <c r="A7" s="85">
        <f>MAX($A$4:A6)+1</f>
        <v>3</v>
      </c>
      <c r="B7" s="252" t="s">
        <v>87</v>
      </c>
      <c r="C7" s="246" t="s">
        <v>99</v>
      </c>
      <c r="D7" s="264">
        <v>86394.454885247716</v>
      </c>
      <c r="E7" s="264">
        <v>93638.371991567605</v>
      </c>
      <c r="F7" s="264">
        <v>99532.074713247202</v>
      </c>
      <c r="G7" s="264">
        <f t="shared" ref="G7:G18" si="0">AVERAGE(D7:F7)</f>
        <v>93188.300530020846</v>
      </c>
      <c r="H7" s="256"/>
      <c r="I7" s="256"/>
      <c r="J7" s="256"/>
      <c r="K7" s="248"/>
    </row>
    <row r="8" spans="1:13" ht="15" customHeight="1">
      <c r="A8" s="85">
        <f>MAX($A$4:A7)+1</f>
        <v>4</v>
      </c>
      <c r="B8" s="252" t="s">
        <v>297</v>
      </c>
      <c r="C8" s="246" t="s">
        <v>99</v>
      </c>
      <c r="D8" s="264">
        <v>5.8102371247613851</v>
      </c>
      <c r="E8" s="264">
        <v>7.7784775752080018</v>
      </c>
      <c r="F8" s="264">
        <v>9.6663257097619191</v>
      </c>
      <c r="G8" s="264">
        <f t="shared" si="0"/>
        <v>7.7516801365771029</v>
      </c>
      <c r="H8" s="256"/>
      <c r="I8" s="256"/>
      <c r="J8" s="256"/>
      <c r="K8" s="248"/>
    </row>
    <row r="9" spans="1:13" ht="15" customHeight="1">
      <c r="A9" s="85">
        <f>MAX($A$4:A8)+1</f>
        <v>5</v>
      </c>
      <c r="B9" s="250" t="s">
        <v>88</v>
      </c>
      <c r="C9" s="253"/>
      <c r="D9" s="598">
        <f>SUM(D6:D8)</f>
        <v>175325.49316237247</v>
      </c>
      <c r="E9" s="598">
        <f>SUM(E6:E8)</f>
        <v>186803.27471914285</v>
      </c>
      <c r="F9" s="598">
        <f>SUM(F6:F8)</f>
        <v>197440.56512895695</v>
      </c>
      <c r="G9" s="598">
        <f t="shared" si="0"/>
        <v>186523.11100349075</v>
      </c>
      <c r="H9" s="256"/>
      <c r="I9" s="256"/>
      <c r="J9" s="256"/>
      <c r="K9" s="248"/>
    </row>
    <row r="10" spans="1:13" ht="15" customHeight="1">
      <c r="A10" s="85">
        <f>MAX($A$4:A9)+1</f>
        <v>6</v>
      </c>
      <c r="B10" s="250" t="s">
        <v>17</v>
      </c>
      <c r="C10" s="246" t="s">
        <v>99</v>
      </c>
      <c r="D10" s="264">
        <v>54071.292386819136</v>
      </c>
      <c r="E10" s="264">
        <v>59702.700657309353</v>
      </c>
      <c r="F10" s="264">
        <v>57373.440731129856</v>
      </c>
      <c r="G10" s="264">
        <f>AVERAGE(D10:F10)</f>
        <v>57049.144591752789</v>
      </c>
      <c r="H10" s="256"/>
      <c r="I10" s="256"/>
      <c r="J10" s="256"/>
      <c r="K10" s="248"/>
    </row>
    <row r="11" spans="1:13" ht="15" customHeight="1">
      <c r="A11" s="85">
        <f>MAX($A$4:A10)+1</f>
        <v>7</v>
      </c>
      <c r="B11" s="250" t="s">
        <v>336</v>
      </c>
      <c r="C11" s="246" t="s">
        <v>99</v>
      </c>
      <c r="D11" s="264">
        <v>5348.5024237562238</v>
      </c>
      <c r="E11" s="264">
        <v>8393.5768663826875</v>
      </c>
      <c r="F11" s="264">
        <v>13073.258653291221</v>
      </c>
      <c r="G11" s="264">
        <f>AVERAGE(D11:F11)</f>
        <v>8938.4459811433771</v>
      </c>
      <c r="H11" s="256"/>
      <c r="I11" s="256"/>
      <c r="J11" s="256"/>
      <c r="K11" s="248"/>
    </row>
    <row r="12" spans="1:13" ht="15" customHeight="1">
      <c r="A12" s="85">
        <f>MAX($A$4:A11)+1</f>
        <v>8</v>
      </c>
      <c r="B12" s="250" t="s">
        <v>337</v>
      </c>
      <c r="C12" s="246" t="s">
        <v>99</v>
      </c>
      <c r="D12" s="264">
        <v>3785.234074734356</v>
      </c>
      <c r="E12" s="264">
        <v>5361.9411338120635</v>
      </c>
      <c r="F12" s="264">
        <v>9611.7320959210265</v>
      </c>
      <c r="G12" s="264">
        <f>AVERAGE(D12:F12)</f>
        <v>6252.9691014891478</v>
      </c>
      <c r="H12" s="256"/>
      <c r="I12" s="256"/>
      <c r="J12" s="256"/>
      <c r="K12" s="248"/>
    </row>
    <row r="13" spans="1:13" ht="15" customHeight="1">
      <c r="A13" s="85">
        <f>MAX($A$4:A12)+1</f>
        <v>9</v>
      </c>
      <c r="B13" s="274" t="s">
        <v>338</v>
      </c>
      <c r="C13" s="253"/>
      <c r="D13" s="598">
        <f>SUM(D9:D12)</f>
        <v>238530.5220476822</v>
      </c>
      <c r="E13" s="598">
        <f>SUM(E9:E12)</f>
        <v>260261.49337664695</v>
      </c>
      <c r="F13" s="598">
        <f>SUM(F9:F12)</f>
        <v>277498.99660929904</v>
      </c>
      <c r="G13" s="598">
        <f>AVERAGE(D13:F13)</f>
        <v>258763.67067787607</v>
      </c>
      <c r="H13" s="256"/>
      <c r="I13" s="256"/>
      <c r="J13" s="256"/>
      <c r="K13" s="248"/>
    </row>
    <row r="14" spans="1:13" ht="15" customHeight="1">
      <c r="A14" s="85">
        <f>MAX($A$4:A13)+1</f>
        <v>10</v>
      </c>
      <c r="B14" s="274" t="s">
        <v>100</v>
      </c>
      <c r="C14" s="253" t="str">
        <f>"Table 3, Lines "&amp;TEXT('T-3'!A10,"0")&amp;" "&amp;'T-3'!H4&amp;", "&amp;TEXT('T-3'!A21,"0")&amp;" "&amp;'T-3'!H4&amp;", and "&amp;TEXT('T-3'!A32,"0")&amp;" "&amp;'T-3'!H4&amp;""</f>
        <v>Table 3, Lines 3 (H), 13 (H), and 23 (H)</v>
      </c>
      <c r="D14" s="264">
        <f>'T-3'!H10</f>
        <v>-2799.1722031249283</v>
      </c>
      <c r="E14" s="264">
        <f>'T-3'!H21</f>
        <v>-2689.0393380164969</v>
      </c>
      <c r="F14" s="264">
        <f>'T-3'!H32</f>
        <v>-2670.0926830457611</v>
      </c>
      <c r="G14" s="264">
        <f t="shared" si="0"/>
        <v>-2719.4347413957289</v>
      </c>
      <c r="H14" s="256"/>
      <c r="I14" s="256"/>
      <c r="J14" s="256"/>
      <c r="K14" s="248"/>
    </row>
    <row r="15" spans="1:13" ht="15" customHeight="1">
      <c r="A15" s="85">
        <f>MAX($A$4:A14)+1</f>
        <v>11</v>
      </c>
      <c r="B15" s="275" t="s">
        <v>302</v>
      </c>
      <c r="C15" s="255" t="str">
        <f>"Table 3, Lines "&amp;TEXT('T-3'!A11,"0")&amp;" "&amp;'T-3'!H4&amp;", "&amp;TEXT('T-3'!A22,"0")&amp;" "&amp;'T-3'!H4&amp;", and "&amp;TEXT('T-3'!A33,"0")&amp;" "&amp;'T-3'!H4&amp;""</f>
        <v>Table 3, Lines 4 (H), 14 (H), and 24 (H)</v>
      </c>
      <c r="D15" s="264">
        <f>'T-3'!H11</f>
        <v>-3830.3449999999998</v>
      </c>
      <c r="E15" s="264">
        <f>'T-3'!H22</f>
        <v>-3830.3449999999998</v>
      </c>
      <c r="F15" s="264">
        <f>'T-3'!H33</f>
        <v>-3830.3449999999998</v>
      </c>
      <c r="G15" s="264">
        <f t="shared" si="0"/>
        <v>-3830.3449999999998</v>
      </c>
      <c r="H15" s="256"/>
      <c r="I15" s="256"/>
      <c r="J15" s="256"/>
      <c r="K15" s="256"/>
      <c r="L15" s="257"/>
      <c r="M15" s="258"/>
    </row>
    <row r="16" spans="1:13" ht="15" customHeight="1">
      <c r="A16" s="85">
        <f>MAX($A$4:A15)+1</f>
        <v>12</v>
      </c>
      <c r="B16" s="275" t="s">
        <v>301</v>
      </c>
      <c r="C16" s="255" t="str">
        <f>"Table 3, Lines "&amp;TEXT('T-3'!A12,"0")&amp;" "&amp;'T-3'!H4&amp;", "&amp;TEXT('T-3'!A23,"0")&amp;" "&amp;'T-3'!H4&amp;", and "&amp;TEXT('T-3'!A34,"0")&amp;" "&amp;'T-3'!H4&amp;""</f>
        <v>Table 3, Lines 5 (H), 15 (H), and 25 (H)</v>
      </c>
      <c r="D16" s="264">
        <f>'T-3'!H12</f>
        <v>-1621.2533999999998</v>
      </c>
      <c r="E16" s="264">
        <f>'T-3'!H23</f>
        <v>-1621.2533999999998</v>
      </c>
      <c r="F16" s="264">
        <f>'T-3'!H34</f>
        <v>-1621.2533999999998</v>
      </c>
      <c r="G16" s="264">
        <f t="shared" si="0"/>
        <v>-1621.2533999999998</v>
      </c>
      <c r="H16" s="256"/>
      <c r="I16" s="256"/>
      <c r="J16" s="256"/>
      <c r="K16" s="256"/>
      <c r="L16" s="254"/>
    </row>
    <row r="17" spans="1:16321" ht="15" customHeight="1">
      <c r="A17" s="85">
        <f>MAX($A$4:A16)+1</f>
        <v>13</v>
      </c>
      <c r="B17" s="274" t="s">
        <v>102</v>
      </c>
      <c r="C17" s="253" t="str">
        <f>"Table 3, Lines "&amp;TEXT('T-3'!A15,"0")&amp;" "&amp;'T-3'!H4&amp;", "&amp;TEXT('T-3'!A26,"0")&amp;" "&amp;'T-3'!H4&amp;", and "&amp;TEXT('T-3'!A37,"0")&amp;" "&amp;'T-3'!H4&amp;""</f>
        <v>Table 3, Lines 8 (H), 18 (H), and 28 (H)</v>
      </c>
      <c r="D17" s="264">
        <f>'T-3'!H15</f>
        <v>-12.463291720019114</v>
      </c>
      <c r="E17" s="264">
        <f>'T-3'!H26</f>
        <v>-14.667449951432232</v>
      </c>
      <c r="F17" s="264">
        <f>'T-3'!H37</f>
        <v>28.288117234437753</v>
      </c>
      <c r="G17" s="264">
        <f t="shared" si="0"/>
        <v>0.38579185432880198</v>
      </c>
      <c r="H17" s="256"/>
      <c r="I17" s="256"/>
      <c r="J17" s="256"/>
      <c r="K17" s="248"/>
    </row>
    <row r="18" spans="1:16321" ht="15" customHeight="1">
      <c r="A18" s="85">
        <f>MAX($A$4:A17)+1</f>
        <v>14</v>
      </c>
      <c r="B18" s="274" t="s">
        <v>108</v>
      </c>
      <c r="C18" s="253" t="str">
        <f>"Table 3, Lines "&amp;TEXT('T-3'!A16,"0")&amp;" "&amp;'T-3'!H4&amp;", "&amp;TEXT('T-3'!A27,"0")&amp;" "&amp;'T-3'!H4&amp;", and "&amp;TEXT('T-3'!A38,"0")&amp;" "&amp;'T-3'!H4&amp;""</f>
        <v>Table 3, Lines 9 (H), 19 (H), and 29 (H)</v>
      </c>
      <c r="D18" s="264">
        <f>'T-3'!H16</f>
        <v>-27.019205639030613</v>
      </c>
      <c r="E18" s="264">
        <f>'T-3'!H27</f>
        <v>43.074127419143025</v>
      </c>
      <c r="F18" s="264">
        <f>'T-3'!H38</f>
        <v>58.770700778136721</v>
      </c>
      <c r="G18" s="264">
        <f t="shared" si="0"/>
        <v>24.941874186083044</v>
      </c>
      <c r="H18" s="256"/>
      <c r="I18" s="256"/>
      <c r="J18" s="256"/>
      <c r="K18" s="248"/>
    </row>
    <row r="19" spans="1:16321" ht="15" customHeight="1">
      <c r="A19" s="85">
        <f>MAX($A$4:A18)+1</f>
        <v>15</v>
      </c>
      <c r="B19" s="250" t="s">
        <v>437</v>
      </c>
      <c r="C19" s="253" t="str">
        <f>"Sum of Line "&amp;TEXT(A13,"0")&amp;" through Line "&amp;TEXT(A18,"0")</f>
        <v>Sum of Line 9 through Line 14</v>
      </c>
      <c r="D19" s="598">
        <f>SUM(D13:D18)</f>
        <v>230240.26894719823</v>
      </c>
      <c r="E19" s="598">
        <f>SUM(E13:E18)</f>
        <v>252149.26231609817</v>
      </c>
      <c r="F19" s="598">
        <f>SUM(F13:F18)</f>
        <v>269464.36434426584</v>
      </c>
      <c r="G19" s="598">
        <f>AVERAGE(D19:F19)</f>
        <v>250617.96520252075</v>
      </c>
      <c r="H19" s="256"/>
      <c r="I19" s="256"/>
      <c r="J19" s="256"/>
      <c r="K19" s="248"/>
    </row>
    <row r="20" spans="1:16321" ht="15" customHeight="1">
      <c r="A20" s="85">
        <f>MAX($A$4:A19)+1</f>
        <v>16</v>
      </c>
      <c r="B20" s="259" t="s">
        <v>200</v>
      </c>
      <c r="C20" s="260"/>
      <c r="D20" s="599"/>
      <c r="E20" s="600"/>
      <c r="F20" s="600"/>
      <c r="G20" s="600"/>
      <c r="H20" s="601"/>
      <c r="I20" s="601"/>
      <c r="J20" s="602"/>
      <c r="K20" s="247"/>
      <c r="L20" s="90"/>
    </row>
    <row r="21" spans="1:16321" s="84" customFormat="1" ht="15" customHeight="1">
      <c r="A21" s="85">
        <f>MAX($A$4:A20)+1</f>
        <v>17</v>
      </c>
      <c r="B21" s="147" t="s">
        <v>339</v>
      </c>
      <c r="C21" s="255" t="str">
        <f>"Table 4, Line "&amp;TEXT('T-6'!A44,"0")&amp;" + Line "&amp;TEXT('T-6'!A45,"0")&amp;" "&amp;'T-4'!P3</f>
        <v>Table 4, Line 40 + Line 41 (O)</v>
      </c>
      <c r="D21" s="160"/>
      <c r="E21" s="88"/>
      <c r="F21" s="88"/>
      <c r="G21" s="161"/>
      <c r="H21" s="264">
        <f>'T-4'!P56+'T-4'!P57</f>
        <v>32338.555555555551</v>
      </c>
      <c r="I21" s="264"/>
      <c r="J21" s="88"/>
      <c r="K21" s="81"/>
      <c r="L21" s="261"/>
      <c r="M21" s="91"/>
    </row>
    <row r="22" spans="1:16321" ht="15" customHeight="1">
      <c r="A22" s="85">
        <f>MAX($A$4:A21)+1</f>
        <v>18</v>
      </c>
      <c r="B22" s="262" t="s">
        <v>40</v>
      </c>
      <c r="C22" s="253" t="str">
        <f>"Table 4, Line "&amp;TEXT('T-4'!A71,"0")&amp;" "&amp;'T-4'!P3</f>
        <v>Table 4, Line 67 (O)</v>
      </c>
      <c r="D22" s="601"/>
      <c r="E22" s="601"/>
      <c r="F22" s="601"/>
      <c r="G22" s="600"/>
      <c r="H22" s="264">
        <f>'T-4'!P71</f>
        <v>6991.1388888888896</v>
      </c>
      <c r="I22" s="264"/>
      <c r="J22" s="603"/>
      <c r="K22" s="263"/>
      <c r="L22" s="261"/>
    </row>
    <row r="23" spans="1:16321" s="84" customFormat="1" ht="15" customHeight="1">
      <c r="A23" s="85">
        <f>MAX($A$4:A22)+1</f>
        <v>19</v>
      </c>
      <c r="B23" s="147" t="s">
        <v>122</v>
      </c>
      <c r="C23" s="255" t="str">
        <f>"Table 6, Line "&amp;TEXT('T-6'!A22,"0")&amp;" + Line "&amp;TEXT('T-6'!A23,"0")&amp;" + Line "&amp;TEXT('T-6'!A24,"0")&amp;" "&amp;'T-6'!E3</f>
        <v>Table 6, Line 18 + Line 19 + Line 20 (D)</v>
      </c>
      <c r="D23" s="222"/>
      <c r="E23" s="88"/>
      <c r="F23" s="88"/>
      <c r="G23" s="161"/>
      <c r="H23" s="264">
        <f>SUM('T-6'!E22:E24)</f>
        <v>1681.1779058300842</v>
      </c>
      <c r="I23" s="264"/>
      <c r="J23" s="88"/>
      <c r="K23" s="81"/>
      <c r="L23" s="261"/>
      <c r="M23" s="91"/>
    </row>
    <row r="24" spans="1:16321" s="225" customFormat="1" ht="15" customHeight="1">
      <c r="A24" s="85">
        <f>MAX($A$4:A23)+1</f>
        <v>20</v>
      </c>
      <c r="B24" s="156" t="s">
        <v>335</v>
      </c>
      <c r="C24" s="273" t="str">
        <f>"Table 7, Line "&amp;TEXT('T-7'!A14,"0")&amp;" + Line "&amp;'T-7'!A15&amp;" "&amp;'T-7'!E3</f>
        <v>Table 7, Line 10 + Line 11 (D)</v>
      </c>
      <c r="D24" s="222"/>
      <c r="E24" s="88"/>
      <c r="F24" s="88"/>
      <c r="G24" s="161"/>
      <c r="H24" s="264">
        <f>'T-7'!E14+'T-7'!E15</f>
        <v>34.117804110435515</v>
      </c>
      <c r="I24" s="264"/>
      <c r="J24" s="88"/>
      <c r="K24" s="88"/>
      <c r="L24" s="261"/>
      <c r="M24" s="91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  <c r="AL24" s="84"/>
      <c r="AM24" s="84"/>
      <c r="AN24" s="84"/>
      <c r="AO24" s="84"/>
      <c r="AP24" s="84"/>
      <c r="AQ24" s="84"/>
      <c r="AR24" s="84"/>
      <c r="AS24" s="84"/>
      <c r="AT24" s="84"/>
      <c r="AU24" s="84"/>
      <c r="AV24" s="84"/>
      <c r="AW24" s="84"/>
      <c r="AX24" s="84"/>
      <c r="AY24" s="84"/>
      <c r="AZ24" s="84"/>
      <c r="BA24" s="84"/>
      <c r="BB24" s="84"/>
      <c r="BC24" s="84"/>
      <c r="BD24" s="84"/>
      <c r="BE24" s="84"/>
      <c r="BF24" s="84"/>
      <c r="BG24" s="84"/>
      <c r="BH24" s="84"/>
      <c r="BI24" s="84"/>
      <c r="BJ24" s="84"/>
      <c r="BK24" s="84"/>
      <c r="BL24" s="84"/>
      <c r="BM24" s="84"/>
      <c r="BN24" s="84"/>
      <c r="BO24" s="84"/>
      <c r="BP24" s="84"/>
      <c r="BQ24" s="84"/>
      <c r="BR24" s="84"/>
      <c r="BS24" s="84"/>
      <c r="BT24" s="84"/>
      <c r="BU24" s="84"/>
      <c r="BV24" s="84"/>
      <c r="BW24" s="84"/>
      <c r="BX24" s="84"/>
      <c r="BY24" s="84"/>
      <c r="BZ24" s="84"/>
      <c r="CA24" s="84"/>
      <c r="CB24" s="84"/>
      <c r="CC24" s="84"/>
      <c r="CD24" s="84"/>
      <c r="CE24" s="84"/>
      <c r="CF24" s="84"/>
      <c r="CG24" s="84"/>
      <c r="CH24" s="84"/>
      <c r="CI24" s="84"/>
      <c r="CJ24" s="84"/>
      <c r="CK24" s="84"/>
      <c r="CL24" s="84"/>
      <c r="CM24" s="84"/>
      <c r="CN24" s="84"/>
      <c r="CO24" s="84"/>
      <c r="CP24" s="84"/>
      <c r="CQ24" s="84"/>
      <c r="CR24" s="84"/>
      <c r="CS24" s="84"/>
      <c r="CT24" s="84"/>
      <c r="CU24" s="84"/>
      <c r="CV24" s="84"/>
      <c r="CW24" s="84"/>
      <c r="CX24" s="84"/>
      <c r="CY24" s="84"/>
      <c r="CZ24" s="84"/>
      <c r="DA24" s="84"/>
      <c r="DB24" s="84"/>
      <c r="DC24" s="84"/>
      <c r="DD24" s="84"/>
      <c r="DE24" s="84"/>
      <c r="DF24" s="84"/>
      <c r="DG24" s="84"/>
      <c r="DH24" s="84"/>
      <c r="DI24" s="84"/>
      <c r="DJ24" s="84"/>
      <c r="DK24" s="84"/>
      <c r="DL24" s="84"/>
      <c r="DM24" s="84"/>
      <c r="DN24" s="84"/>
      <c r="DO24" s="84"/>
      <c r="DP24" s="84"/>
      <c r="DQ24" s="84"/>
      <c r="DR24" s="84"/>
      <c r="DS24" s="84"/>
      <c r="DT24" s="84"/>
      <c r="DU24" s="84"/>
      <c r="DV24" s="84"/>
      <c r="DW24" s="84"/>
      <c r="DX24" s="84"/>
      <c r="DY24" s="84"/>
      <c r="DZ24" s="84"/>
      <c r="EA24" s="84"/>
      <c r="EB24" s="84"/>
      <c r="EC24" s="84"/>
      <c r="ED24" s="84"/>
      <c r="EE24" s="84"/>
      <c r="EF24" s="84"/>
      <c r="EG24" s="84"/>
      <c r="EH24" s="84"/>
      <c r="EI24" s="84"/>
      <c r="EJ24" s="84"/>
      <c r="EK24" s="84"/>
      <c r="EL24" s="84"/>
      <c r="EM24" s="84"/>
      <c r="EN24" s="84"/>
      <c r="EO24" s="84"/>
      <c r="EP24" s="84"/>
      <c r="EQ24" s="84"/>
      <c r="ER24" s="84"/>
      <c r="ES24" s="84"/>
      <c r="ET24" s="84"/>
      <c r="EU24" s="84"/>
      <c r="EV24" s="84"/>
      <c r="EW24" s="84"/>
      <c r="EX24" s="84"/>
      <c r="EY24" s="84"/>
      <c r="EZ24" s="84"/>
      <c r="FA24" s="84"/>
      <c r="FB24" s="84"/>
      <c r="FC24" s="84"/>
      <c r="FD24" s="84"/>
      <c r="FE24" s="84"/>
      <c r="FF24" s="84"/>
      <c r="FG24" s="84"/>
      <c r="FH24" s="84"/>
      <c r="FI24" s="84"/>
      <c r="FJ24" s="84"/>
      <c r="FK24" s="84"/>
      <c r="FL24" s="84"/>
      <c r="FM24" s="84"/>
      <c r="FN24" s="84"/>
      <c r="FO24" s="84"/>
      <c r="FP24" s="84"/>
      <c r="FQ24" s="84"/>
      <c r="FR24" s="84"/>
      <c r="FS24" s="84"/>
      <c r="FT24" s="84"/>
      <c r="FU24" s="84"/>
      <c r="FV24" s="84"/>
      <c r="FW24" s="84"/>
      <c r="FX24" s="84"/>
      <c r="FY24" s="84"/>
      <c r="FZ24" s="84"/>
      <c r="GA24" s="84"/>
      <c r="GB24" s="84"/>
      <c r="GC24" s="84"/>
      <c r="GD24" s="84"/>
      <c r="GE24" s="84"/>
      <c r="GF24" s="84"/>
      <c r="GG24" s="84"/>
      <c r="GH24" s="84"/>
      <c r="GI24" s="84"/>
      <c r="GJ24" s="84"/>
      <c r="GK24" s="84"/>
      <c r="GL24" s="84"/>
      <c r="GM24" s="84"/>
      <c r="GN24" s="84"/>
      <c r="GO24" s="84"/>
      <c r="GP24" s="84"/>
      <c r="GQ24" s="84"/>
      <c r="GR24" s="84"/>
      <c r="GS24" s="84"/>
      <c r="GT24" s="84"/>
      <c r="GU24" s="84"/>
      <c r="GV24" s="84"/>
      <c r="GW24" s="84"/>
      <c r="GX24" s="84"/>
      <c r="GY24" s="84"/>
      <c r="GZ24" s="84"/>
      <c r="HA24" s="84"/>
      <c r="HB24" s="84"/>
      <c r="HC24" s="84"/>
      <c r="HD24" s="84"/>
      <c r="HE24" s="84"/>
      <c r="HF24" s="84"/>
      <c r="HG24" s="84"/>
      <c r="HH24" s="84"/>
      <c r="HI24" s="84"/>
      <c r="HJ24" s="84"/>
      <c r="HK24" s="84"/>
      <c r="HL24" s="84"/>
      <c r="HM24" s="84"/>
      <c r="HN24" s="84"/>
      <c r="HO24" s="84"/>
      <c r="HP24" s="84"/>
      <c r="HQ24" s="84"/>
      <c r="HR24" s="84"/>
      <c r="HS24" s="84"/>
      <c r="HT24" s="84"/>
      <c r="HU24" s="84"/>
      <c r="HV24" s="84"/>
      <c r="HW24" s="84"/>
      <c r="HX24" s="84"/>
      <c r="HY24" s="84"/>
      <c r="HZ24" s="84"/>
      <c r="IA24" s="84"/>
      <c r="IB24" s="84"/>
      <c r="IC24" s="84"/>
      <c r="ID24" s="84"/>
      <c r="IE24" s="84"/>
      <c r="IF24" s="84"/>
      <c r="IG24" s="84"/>
      <c r="IH24" s="84"/>
      <c r="II24" s="84"/>
      <c r="IJ24" s="84"/>
      <c r="IK24" s="84"/>
      <c r="IL24" s="84"/>
      <c r="IM24" s="84"/>
      <c r="IN24" s="84"/>
      <c r="IO24" s="84"/>
      <c r="IP24" s="84"/>
      <c r="IQ24" s="84"/>
      <c r="IR24" s="84"/>
      <c r="IS24" s="84"/>
      <c r="IT24" s="84"/>
      <c r="IU24" s="84"/>
      <c r="IV24" s="84"/>
      <c r="IW24" s="84"/>
      <c r="IX24" s="84"/>
      <c r="IY24" s="84"/>
      <c r="IZ24" s="84"/>
      <c r="JA24" s="84"/>
      <c r="JB24" s="84"/>
      <c r="JC24" s="84"/>
      <c r="JD24" s="84"/>
      <c r="JE24" s="84"/>
      <c r="JF24" s="84"/>
      <c r="JG24" s="84"/>
      <c r="JH24" s="84"/>
      <c r="JI24" s="84"/>
      <c r="JJ24" s="84"/>
      <c r="JK24" s="84"/>
      <c r="JL24" s="84"/>
      <c r="JM24" s="84"/>
      <c r="JN24" s="84"/>
      <c r="JO24" s="84"/>
      <c r="JP24" s="84"/>
      <c r="JQ24" s="84"/>
      <c r="JR24" s="84"/>
      <c r="JS24" s="84"/>
      <c r="JT24" s="84"/>
      <c r="JU24" s="84"/>
      <c r="JV24" s="84"/>
      <c r="JW24" s="84"/>
      <c r="JX24" s="84"/>
      <c r="JY24" s="84"/>
      <c r="JZ24" s="84"/>
      <c r="KA24" s="84"/>
      <c r="KB24" s="84"/>
      <c r="KC24" s="84"/>
      <c r="KD24" s="84"/>
      <c r="KE24" s="84"/>
      <c r="KF24" s="84"/>
      <c r="KG24" s="84"/>
      <c r="KH24" s="84"/>
      <c r="KI24" s="84"/>
      <c r="KJ24" s="84"/>
      <c r="KK24" s="84"/>
      <c r="KL24" s="84"/>
      <c r="KM24" s="84"/>
      <c r="KN24" s="84"/>
      <c r="KO24" s="84"/>
      <c r="KP24" s="84"/>
      <c r="KQ24" s="84"/>
      <c r="KR24" s="84"/>
      <c r="KS24" s="84"/>
      <c r="KT24" s="84"/>
      <c r="KU24" s="84"/>
      <c r="KV24" s="84"/>
      <c r="KW24" s="84"/>
      <c r="KX24" s="84"/>
      <c r="KY24" s="84"/>
      <c r="KZ24" s="84"/>
      <c r="LA24" s="84"/>
      <c r="LB24" s="84"/>
      <c r="LC24" s="84"/>
      <c r="LD24" s="84"/>
      <c r="LE24" s="84"/>
      <c r="LF24" s="84"/>
      <c r="LG24" s="84"/>
      <c r="LH24" s="84"/>
      <c r="LI24" s="84"/>
      <c r="LJ24" s="84"/>
      <c r="LK24" s="84"/>
      <c r="LL24" s="84"/>
      <c r="LM24" s="84"/>
      <c r="LN24" s="84"/>
      <c r="LO24" s="84"/>
      <c r="LP24" s="84"/>
      <c r="LQ24" s="84"/>
      <c r="LR24" s="84"/>
      <c r="LS24" s="84"/>
      <c r="LT24" s="84"/>
      <c r="LU24" s="84"/>
      <c r="LV24" s="84"/>
      <c r="LW24" s="84"/>
      <c r="LX24" s="84"/>
      <c r="LY24" s="84"/>
      <c r="LZ24" s="84"/>
      <c r="MA24" s="84"/>
      <c r="MB24" s="84"/>
      <c r="MC24" s="84"/>
      <c r="MD24" s="84"/>
      <c r="ME24" s="84"/>
      <c r="MF24" s="84"/>
      <c r="MG24" s="84"/>
      <c r="MH24" s="84"/>
      <c r="MI24" s="84"/>
      <c r="MJ24" s="84"/>
      <c r="MK24" s="84"/>
      <c r="ML24" s="84"/>
      <c r="MM24" s="84"/>
      <c r="MN24" s="84"/>
      <c r="MO24" s="84"/>
      <c r="MP24" s="84"/>
      <c r="MQ24" s="84"/>
      <c r="MR24" s="84"/>
      <c r="MS24" s="84"/>
      <c r="MT24" s="84"/>
      <c r="MU24" s="84"/>
      <c r="MV24" s="84"/>
      <c r="MW24" s="84"/>
      <c r="MX24" s="84"/>
      <c r="MY24" s="84"/>
      <c r="MZ24" s="84"/>
      <c r="NA24" s="84"/>
      <c r="NB24" s="84"/>
      <c r="NC24" s="84"/>
      <c r="ND24" s="84"/>
      <c r="NE24" s="84"/>
      <c r="NF24" s="84"/>
      <c r="NG24" s="84"/>
      <c r="NH24" s="84"/>
      <c r="NI24" s="84"/>
      <c r="NJ24" s="84"/>
      <c r="NK24" s="84"/>
      <c r="NL24" s="84"/>
      <c r="NM24" s="84"/>
      <c r="NN24" s="84"/>
      <c r="NO24" s="84"/>
      <c r="NP24" s="84"/>
      <c r="NQ24" s="84"/>
      <c r="NR24" s="84"/>
      <c r="NS24" s="84"/>
      <c r="NT24" s="84"/>
      <c r="NU24" s="84"/>
      <c r="NV24" s="84"/>
      <c r="NW24" s="84"/>
      <c r="NX24" s="84"/>
      <c r="NY24" s="84"/>
      <c r="NZ24" s="84"/>
      <c r="OA24" s="84"/>
      <c r="OB24" s="84"/>
      <c r="OC24" s="84"/>
      <c r="OD24" s="84"/>
      <c r="OE24" s="84"/>
      <c r="OF24" s="84"/>
      <c r="OG24" s="84"/>
      <c r="OH24" s="84"/>
      <c r="OI24" s="84"/>
      <c r="OJ24" s="84"/>
      <c r="OK24" s="84"/>
      <c r="OL24" s="84"/>
      <c r="OM24" s="84"/>
      <c r="ON24" s="84"/>
      <c r="OO24" s="84"/>
      <c r="OP24" s="84"/>
      <c r="OQ24" s="84"/>
      <c r="OR24" s="84"/>
      <c r="OS24" s="84"/>
      <c r="OT24" s="84"/>
      <c r="OU24" s="84"/>
      <c r="OV24" s="84"/>
      <c r="OW24" s="84"/>
      <c r="OX24" s="84"/>
      <c r="OY24" s="84"/>
      <c r="OZ24" s="84"/>
      <c r="PA24" s="84"/>
      <c r="PB24" s="84"/>
      <c r="PC24" s="84"/>
      <c r="PD24" s="84"/>
      <c r="PE24" s="84"/>
      <c r="PF24" s="84"/>
      <c r="PG24" s="84"/>
      <c r="PH24" s="84"/>
      <c r="PI24" s="84"/>
      <c r="PJ24" s="84"/>
      <c r="PK24" s="84"/>
      <c r="PL24" s="84"/>
      <c r="PM24" s="84"/>
      <c r="PN24" s="84"/>
      <c r="PO24" s="84"/>
      <c r="PP24" s="84"/>
      <c r="PQ24" s="84"/>
      <c r="PR24" s="84"/>
      <c r="PS24" s="84"/>
      <c r="PT24" s="84"/>
      <c r="PU24" s="84"/>
      <c r="PV24" s="84"/>
      <c r="PW24" s="84"/>
      <c r="PX24" s="84"/>
      <c r="PY24" s="84"/>
      <c r="PZ24" s="84"/>
      <c r="QA24" s="84"/>
      <c r="QB24" s="84"/>
      <c r="QC24" s="84"/>
      <c r="QD24" s="84"/>
      <c r="QE24" s="84"/>
      <c r="QF24" s="84"/>
      <c r="QG24" s="84"/>
      <c r="QH24" s="84"/>
      <c r="QI24" s="84"/>
      <c r="QJ24" s="84"/>
      <c r="QK24" s="84"/>
      <c r="QL24" s="84"/>
      <c r="QM24" s="84"/>
      <c r="QN24" s="84"/>
      <c r="QO24" s="84"/>
      <c r="QP24" s="84"/>
      <c r="QQ24" s="84"/>
      <c r="QR24" s="84"/>
      <c r="QS24" s="84"/>
      <c r="QT24" s="84"/>
      <c r="QU24" s="84"/>
      <c r="QV24" s="84"/>
      <c r="QW24" s="84"/>
      <c r="QX24" s="84"/>
      <c r="QY24" s="84"/>
      <c r="QZ24" s="84"/>
      <c r="RA24" s="84"/>
      <c r="RB24" s="84"/>
      <c r="RC24" s="84"/>
      <c r="RD24" s="84"/>
      <c r="RE24" s="84"/>
      <c r="RF24" s="84"/>
      <c r="RG24" s="84"/>
      <c r="RH24" s="84"/>
      <c r="RI24" s="84"/>
      <c r="RJ24" s="84"/>
      <c r="RK24" s="84"/>
      <c r="RL24" s="84"/>
      <c r="RM24" s="84"/>
      <c r="RN24" s="84"/>
      <c r="RO24" s="84"/>
      <c r="RP24" s="84"/>
      <c r="RQ24" s="84"/>
      <c r="RR24" s="84"/>
      <c r="RS24" s="84"/>
      <c r="RT24" s="84"/>
      <c r="RU24" s="84"/>
      <c r="RV24" s="84"/>
      <c r="RW24" s="84"/>
      <c r="RX24" s="84"/>
      <c r="RY24" s="84"/>
      <c r="RZ24" s="84"/>
      <c r="SA24" s="84"/>
      <c r="SB24" s="84"/>
      <c r="SC24" s="84"/>
      <c r="SD24" s="84"/>
      <c r="SE24" s="84"/>
      <c r="SF24" s="84"/>
      <c r="SG24" s="84"/>
      <c r="SH24" s="84"/>
      <c r="SI24" s="84"/>
      <c r="SJ24" s="84"/>
      <c r="SK24" s="84"/>
      <c r="SL24" s="84"/>
      <c r="SM24" s="84"/>
      <c r="SN24" s="84"/>
      <c r="SO24" s="84"/>
      <c r="SP24" s="84"/>
      <c r="SQ24" s="84"/>
      <c r="SR24" s="84"/>
      <c r="SS24" s="84"/>
      <c r="ST24" s="84"/>
      <c r="SU24" s="84"/>
      <c r="SV24" s="84"/>
      <c r="SW24" s="84"/>
      <c r="SX24" s="84"/>
      <c r="SY24" s="84"/>
      <c r="SZ24" s="84"/>
      <c r="TA24" s="84"/>
      <c r="TB24" s="84"/>
      <c r="TC24" s="84"/>
      <c r="TD24" s="84"/>
      <c r="TE24" s="84"/>
      <c r="TF24" s="84"/>
      <c r="TG24" s="84"/>
      <c r="TH24" s="84"/>
      <c r="TI24" s="84"/>
      <c r="TJ24" s="84"/>
      <c r="TK24" s="84"/>
      <c r="TL24" s="84"/>
      <c r="TM24" s="84"/>
      <c r="TN24" s="84"/>
      <c r="TO24" s="84"/>
      <c r="TP24" s="84"/>
      <c r="TQ24" s="84"/>
      <c r="TR24" s="84"/>
      <c r="TS24" s="84"/>
      <c r="TT24" s="84"/>
      <c r="TU24" s="84"/>
      <c r="TV24" s="84"/>
      <c r="TW24" s="84"/>
      <c r="TX24" s="84"/>
      <c r="TY24" s="84"/>
      <c r="TZ24" s="84"/>
      <c r="UA24" s="84"/>
      <c r="UB24" s="84"/>
      <c r="UC24" s="84"/>
      <c r="UD24" s="84"/>
      <c r="UE24" s="84"/>
      <c r="UF24" s="84"/>
      <c r="UG24" s="84"/>
      <c r="UH24" s="84"/>
      <c r="UI24" s="84"/>
      <c r="UJ24" s="84"/>
      <c r="UK24" s="84"/>
      <c r="UL24" s="84"/>
      <c r="UM24" s="84"/>
      <c r="UN24" s="84"/>
      <c r="UO24" s="84"/>
      <c r="UP24" s="84"/>
      <c r="UQ24" s="84"/>
      <c r="UR24" s="84"/>
      <c r="US24" s="84"/>
      <c r="UT24" s="84"/>
      <c r="UU24" s="84"/>
      <c r="UV24" s="84"/>
      <c r="UW24" s="84"/>
      <c r="UX24" s="84"/>
      <c r="UY24" s="84"/>
      <c r="UZ24" s="84"/>
      <c r="VA24" s="84"/>
      <c r="VB24" s="84"/>
      <c r="VC24" s="84"/>
      <c r="VD24" s="84"/>
      <c r="VE24" s="84"/>
      <c r="VF24" s="84"/>
      <c r="VG24" s="84"/>
      <c r="VH24" s="84"/>
      <c r="VI24" s="84"/>
      <c r="VJ24" s="84"/>
      <c r="VK24" s="84"/>
      <c r="VL24" s="84"/>
      <c r="VM24" s="84"/>
      <c r="VN24" s="84"/>
      <c r="VO24" s="84"/>
      <c r="VP24" s="84"/>
      <c r="VQ24" s="84"/>
      <c r="VR24" s="84"/>
      <c r="VS24" s="84"/>
      <c r="VT24" s="84"/>
      <c r="VU24" s="84"/>
      <c r="VV24" s="84"/>
      <c r="VW24" s="84"/>
      <c r="VX24" s="84"/>
      <c r="VY24" s="84"/>
      <c r="VZ24" s="84"/>
      <c r="WA24" s="84"/>
      <c r="WB24" s="84"/>
      <c r="WC24" s="84"/>
      <c r="WD24" s="84"/>
      <c r="WE24" s="84"/>
      <c r="WF24" s="84"/>
      <c r="WG24" s="84"/>
      <c r="WH24" s="84"/>
      <c r="WI24" s="84"/>
      <c r="WJ24" s="84"/>
      <c r="WK24" s="84"/>
      <c r="WL24" s="84"/>
      <c r="WM24" s="84"/>
      <c r="WN24" s="84"/>
      <c r="WO24" s="84"/>
      <c r="WP24" s="84"/>
      <c r="WQ24" s="84"/>
      <c r="WR24" s="84"/>
      <c r="WS24" s="84"/>
      <c r="WT24" s="84"/>
      <c r="WU24" s="84"/>
      <c r="WV24" s="84"/>
      <c r="WW24" s="84"/>
      <c r="WX24" s="84"/>
      <c r="WY24" s="84"/>
      <c r="WZ24" s="84"/>
      <c r="XA24" s="84"/>
      <c r="XB24" s="84"/>
      <c r="XC24" s="84"/>
      <c r="XD24" s="84"/>
      <c r="XE24" s="84"/>
      <c r="XF24" s="84"/>
      <c r="XG24" s="84"/>
      <c r="XH24" s="84"/>
      <c r="XI24" s="84"/>
      <c r="XJ24" s="84"/>
      <c r="XK24" s="84"/>
      <c r="XL24" s="84"/>
      <c r="XM24" s="84"/>
      <c r="XN24" s="84"/>
      <c r="XO24" s="84"/>
      <c r="XP24" s="84"/>
      <c r="XQ24" s="84"/>
      <c r="XR24" s="84"/>
      <c r="XS24" s="84"/>
      <c r="XT24" s="84"/>
      <c r="XU24" s="84"/>
      <c r="XV24" s="84"/>
      <c r="XW24" s="84"/>
      <c r="XX24" s="84"/>
      <c r="XY24" s="84"/>
      <c r="XZ24" s="84"/>
      <c r="YA24" s="84"/>
      <c r="YB24" s="84"/>
      <c r="YC24" s="84"/>
      <c r="YD24" s="84"/>
      <c r="YE24" s="84"/>
      <c r="YF24" s="84"/>
      <c r="YG24" s="84"/>
      <c r="YH24" s="84"/>
      <c r="YI24" s="84"/>
      <c r="YJ24" s="84"/>
      <c r="YK24" s="84"/>
      <c r="YL24" s="84"/>
      <c r="YM24" s="84"/>
      <c r="YN24" s="84"/>
      <c r="YO24" s="84"/>
      <c r="YP24" s="84"/>
      <c r="YQ24" s="84"/>
      <c r="YR24" s="84"/>
      <c r="YS24" s="84"/>
      <c r="YT24" s="84"/>
      <c r="YU24" s="84"/>
      <c r="YV24" s="84"/>
      <c r="YW24" s="84"/>
      <c r="YX24" s="84"/>
      <c r="YY24" s="84"/>
      <c r="YZ24" s="84"/>
      <c r="ZA24" s="84"/>
      <c r="ZB24" s="84"/>
      <c r="ZC24" s="84"/>
      <c r="ZD24" s="84"/>
      <c r="ZE24" s="84"/>
      <c r="ZF24" s="84"/>
      <c r="ZG24" s="84"/>
      <c r="ZH24" s="84"/>
      <c r="ZI24" s="84"/>
      <c r="ZJ24" s="84"/>
      <c r="ZK24" s="84"/>
      <c r="ZL24" s="84"/>
      <c r="ZM24" s="84"/>
      <c r="ZN24" s="84"/>
      <c r="ZO24" s="84"/>
      <c r="ZP24" s="84"/>
      <c r="ZQ24" s="84"/>
      <c r="ZR24" s="84"/>
      <c r="ZS24" s="84"/>
      <c r="ZT24" s="84"/>
      <c r="ZU24" s="84"/>
      <c r="ZV24" s="84"/>
      <c r="ZW24" s="84"/>
      <c r="ZX24" s="84"/>
      <c r="ZY24" s="84"/>
      <c r="ZZ24" s="84"/>
      <c r="AAA24" s="84"/>
      <c r="AAB24" s="84"/>
      <c r="AAC24" s="84"/>
      <c r="AAD24" s="84"/>
      <c r="AAE24" s="84"/>
      <c r="AAF24" s="84"/>
      <c r="AAG24" s="84"/>
      <c r="AAH24" s="84"/>
      <c r="AAI24" s="84"/>
      <c r="AAJ24" s="84"/>
      <c r="AAK24" s="84"/>
      <c r="AAL24" s="84"/>
      <c r="AAM24" s="84"/>
      <c r="AAN24" s="84"/>
      <c r="AAO24" s="84"/>
      <c r="AAP24" s="84"/>
      <c r="AAQ24" s="84"/>
      <c r="AAR24" s="84"/>
      <c r="AAS24" s="84"/>
      <c r="AAT24" s="84"/>
      <c r="AAU24" s="84"/>
      <c r="AAV24" s="84"/>
      <c r="AAW24" s="84"/>
      <c r="AAX24" s="84"/>
      <c r="AAY24" s="84"/>
      <c r="AAZ24" s="84"/>
      <c r="ABA24" s="84"/>
      <c r="ABB24" s="84"/>
      <c r="ABC24" s="84"/>
      <c r="ABD24" s="84"/>
      <c r="ABE24" s="84"/>
      <c r="ABF24" s="84"/>
      <c r="ABG24" s="84"/>
      <c r="ABH24" s="84"/>
      <c r="ABI24" s="84"/>
      <c r="ABJ24" s="84"/>
      <c r="ABK24" s="84"/>
      <c r="ABL24" s="84"/>
      <c r="ABM24" s="84"/>
      <c r="ABN24" s="84"/>
      <c r="ABO24" s="84"/>
      <c r="ABP24" s="84"/>
      <c r="ABQ24" s="84"/>
      <c r="ABR24" s="84"/>
      <c r="ABS24" s="84"/>
      <c r="ABT24" s="84"/>
      <c r="ABU24" s="84"/>
      <c r="ABV24" s="84"/>
      <c r="ABW24" s="84"/>
      <c r="ABX24" s="84"/>
      <c r="ABY24" s="84"/>
      <c r="ABZ24" s="84"/>
      <c r="ACA24" s="84"/>
      <c r="ACB24" s="84"/>
      <c r="ACC24" s="84"/>
      <c r="ACD24" s="84"/>
      <c r="ACE24" s="84"/>
      <c r="ACF24" s="84"/>
      <c r="ACG24" s="84"/>
      <c r="ACH24" s="84"/>
      <c r="ACI24" s="84"/>
      <c r="ACJ24" s="84"/>
      <c r="ACK24" s="84"/>
      <c r="ACL24" s="84"/>
      <c r="ACM24" s="84"/>
      <c r="ACN24" s="84"/>
      <c r="ACO24" s="84"/>
      <c r="ACP24" s="84"/>
      <c r="ACQ24" s="84"/>
      <c r="ACR24" s="84"/>
      <c r="ACS24" s="84"/>
      <c r="ACT24" s="84"/>
      <c r="ACU24" s="84"/>
      <c r="ACV24" s="84"/>
      <c r="ACW24" s="84"/>
      <c r="ACX24" s="84"/>
      <c r="ACY24" s="84"/>
      <c r="ACZ24" s="84"/>
      <c r="ADA24" s="84"/>
      <c r="ADB24" s="84"/>
      <c r="ADC24" s="84"/>
      <c r="ADD24" s="84"/>
      <c r="ADE24" s="84"/>
      <c r="ADF24" s="84"/>
      <c r="ADG24" s="84"/>
      <c r="ADH24" s="84"/>
      <c r="ADI24" s="84"/>
      <c r="ADJ24" s="84"/>
      <c r="ADK24" s="84"/>
      <c r="ADL24" s="84"/>
      <c r="ADM24" s="84"/>
      <c r="ADN24" s="84"/>
      <c r="ADO24" s="84"/>
      <c r="ADP24" s="84"/>
      <c r="ADQ24" s="84"/>
      <c r="ADR24" s="84"/>
      <c r="ADS24" s="84"/>
      <c r="ADT24" s="84"/>
      <c r="ADU24" s="84"/>
      <c r="ADV24" s="84"/>
      <c r="ADW24" s="84"/>
      <c r="ADX24" s="84"/>
      <c r="ADY24" s="84"/>
      <c r="ADZ24" s="84"/>
      <c r="AEA24" s="84"/>
      <c r="AEB24" s="84"/>
      <c r="AEC24" s="84"/>
      <c r="AED24" s="84"/>
      <c r="AEE24" s="84"/>
      <c r="AEF24" s="84"/>
      <c r="AEG24" s="84"/>
      <c r="AEH24" s="84"/>
      <c r="AEI24" s="84"/>
      <c r="AEJ24" s="84"/>
      <c r="AEK24" s="84"/>
      <c r="AEL24" s="84"/>
      <c r="AEM24" s="84"/>
      <c r="AEN24" s="84"/>
      <c r="AEO24" s="84"/>
      <c r="AEP24" s="84"/>
      <c r="AEQ24" s="84"/>
      <c r="AER24" s="84"/>
      <c r="AES24" s="84"/>
      <c r="AET24" s="84"/>
      <c r="AEU24" s="84"/>
      <c r="AEV24" s="84"/>
      <c r="AEW24" s="84"/>
      <c r="AEX24" s="84"/>
      <c r="AEY24" s="84"/>
      <c r="AEZ24" s="84"/>
      <c r="AFA24" s="84"/>
      <c r="AFB24" s="84"/>
      <c r="AFC24" s="84"/>
      <c r="AFD24" s="84"/>
      <c r="AFE24" s="84"/>
      <c r="AFF24" s="84"/>
      <c r="AFG24" s="84"/>
      <c r="AFH24" s="84"/>
      <c r="AFI24" s="84"/>
      <c r="AFJ24" s="84"/>
      <c r="AFK24" s="84"/>
      <c r="AFL24" s="84"/>
      <c r="AFM24" s="84"/>
      <c r="AFN24" s="84"/>
      <c r="AFO24" s="84"/>
      <c r="AFP24" s="84"/>
      <c r="AFQ24" s="84"/>
      <c r="AFR24" s="84"/>
      <c r="AFS24" s="84"/>
      <c r="AFT24" s="84"/>
      <c r="AFU24" s="84"/>
      <c r="AFV24" s="84"/>
      <c r="AFW24" s="84"/>
      <c r="AFX24" s="84"/>
      <c r="AFY24" s="84"/>
      <c r="AFZ24" s="84"/>
      <c r="AGA24" s="84"/>
      <c r="AGB24" s="84"/>
      <c r="AGC24" s="84"/>
      <c r="AGD24" s="84"/>
      <c r="AGE24" s="84"/>
      <c r="AGF24" s="84"/>
      <c r="AGG24" s="84"/>
      <c r="AGH24" s="84"/>
      <c r="AGI24" s="84"/>
      <c r="AGJ24" s="84"/>
      <c r="AGK24" s="84"/>
      <c r="AGL24" s="84"/>
      <c r="AGM24" s="84"/>
      <c r="AGN24" s="84"/>
      <c r="AGO24" s="84"/>
      <c r="AGP24" s="84"/>
      <c r="AGQ24" s="84"/>
      <c r="AGR24" s="84"/>
      <c r="AGS24" s="84"/>
      <c r="AGT24" s="84"/>
      <c r="AGU24" s="84"/>
      <c r="AGV24" s="84"/>
      <c r="AGW24" s="84"/>
      <c r="AGX24" s="84"/>
      <c r="AGY24" s="84"/>
      <c r="AGZ24" s="84"/>
      <c r="AHA24" s="84"/>
      <c r="AHB24" s="84"/>
      <c r="AHC24" s="84"/>
      <c r="AHD24" s="84"/>
      <c r="AHE24" s="84"/>
      <c r="AHF24" s="84"/>
      <c r="AHG24" s="84"/>
      <c r="AHH24" s="84"/>
      <c r="AHI24" s="84"/>
      <c r="AHJ24" s="84"/>
      <c r="AHK24" s="84"/>
      <c r="AHL24" s="84"/>
      <c r="AHM24" s="84"/>
      <c r="AHN24" s="84"/>
      <c r="AHO24" s="84"/>
      <c r="AHP24" s="84"/>
      <c r="AHQ24" s="84"/>
      <c r="AHR24" s="84"/>
      <c r="AHS24" s="84"/>
      <c r="AHT24" s="84"/>
      <c r="AHU24" s="84"/>
      <c r="AHV24" s="84"/>
      <c r="AHW24" s="84"/>
      <c r="AHX24" s="84"/>
      <c r="AHY24" s="84"/>
      <c r="AHZ24" s="84"/>
      <c r="AIA24" s="84"/>
      <c r="AIB24" s="84"/>
      <c r="AIC24" s="84"/>
      <c r="AID24" s="84"/>
      <c r="AIE24" s="84"/>
      <c r="AIF24" s="84"/>
      <c r="AIG24" s="84"/>
      <c r="AIH24" s="84"/>
      <c r="AII24" s="84"/>
      <c r="AIJ24" s="84"/>
      <c r="AIK24" s="84"/>
      <c r="AIL24" s="84"/>
      <c r="AIM24" s="84"/>
      <c r="AIN24" s="84"/>
      <c r="AIO24" s="84"/>
      <c r="AIP24" s="84"/>
      <c r="AIQ24" s="84"/>
      <c r="AIR24" s="84"/>
      <c r="AIS24" s="84"/>
      <c r="AIT24" s="84"/>
      <c r="AIU24" s="84"/>
      <c r="AIV24" s="84"/>
      <c r="AIW24" s="84"/>
      <c r="AIX24" s="84"/>
      <c r="AIY24" s="84"/>
      <c r="AIZ24" s="84"/>
      <c r="AJA24" s="84"/>
      <c r="AJB24" s="84"/>
      <c r="AJC24" s="84"/>
      <c r="AJD24" s="84"/>
      <c r="AJE24" s="84"/>
      <c r="AJF24" s="84"/>
      <c r="AJG24" s="84"/>
      <c r="AJH24" s="84"/>
      <c r="AJI24" s="84"/>
      <c r="AJJ24" s="84"/>
      <c r="AJK24" s="84"/>
      <c r="AJL24" s="84"/>
      <c r="AJM24" s="84"/>
      <c r="AJN24" s="84"/>
      <c r="AJO24" s="84"/>
      <c r="AJP24" s="84"/>
      <c r="AJQ24" s="84"/>
      <c r="AJR24" s="84"/>
      <c r="AJS24" s="84"/>
      <c r="AJT24" s="84"/>
      <c r="AJU24" s="84"/>
      <c r="AJV24" s="84"/>
      <c r="AJW24" s="84"/>
      <c r="AJX24" s="84"/>
      <c r="AJY24" s="84"/>
      <c r="AJZ24" s="84"/>
      <c r="AKA24" s="84"/>
      <c r="AKB24" s="84"/>
      <c r="AKC24" s="84"/>
      <c r="AKD24" s="84"/>
      <c r="AKE24" s="84"/>
      <c r="AKF24" s="84"/>
      <c r="AKG24" s="84"/>
      <c r="AKH24" s="84"/>
      <c r="AKI24" s="84"/>
      <c r="AKJ24" s="84"/>
      <c r="AKK24" s="84"/>
      <c r="AKL24" s="84"/>
      <c r="AKM24" s="84"/>
      <c r="AKN24" s="84"/>
      <c r="AKO24" s="84"/>
      <c r="AKP24" s="84"/>
      <c r="AKQ24" s="84"/>
      <c r="AKR24" s="84"/>
      <c r="AKS24" s="84"/>
      <c r="AKT24" s="84"/>
      <c r="AKU24" s="84"/>
      <c r="AKV24" s="84"/>
      <c r="AKW24" s="84"/>
      <c r="AKX24" s="84"/>
      <c r="AKY24" s="84"/>
      <c r="AKZ24" s="84"/>
      <c r="ALA24" s="84"/>
      <c r="ALB24" s="84"/>
      <c r="ALC24" s="84"/>
      <c r="ALD24" s="84"/>
      <c r="ALE24" s="84"/>
      <c r="ALF24" s="84"/>
      <c r="ALG24" s="84"/>
      <c r="ALH24" s="84"/>
      <c r="ALI24" s="84"/>
      <c r="ALJ24" s="84"/>
      <c r="ALK24" s="84"/>
      <c r="ALL24" s="84"/>
      <c r="ALM24" s="84"/>
      <c r="ALN24" s="84"/>
      <c r="ALO24" s="84"/>
      <c r="ALP24" s="84"/>
      <c r="ALQ24" s="84"/>
      <c r="ALR24" s="84"/>
      <c r="ALS24" s="84"/>
      <c r="ALT24" s="84"/>
      <c r="ALU24" s="84"/>
      <c r="ALV24" s="84"/>
      <c r="ALW24" s="84"/>
      <c r="ALX24" s="84"/>
      <c r="ALY24" s="84"/>
      <c r="ALZ24" s="84"/>
      <c r="AMA24" s="84"/>
      <c r="AMB24" s="84"/>
      <c r="AMC24" s="84"/>
      <c r="AMD24" s="84"/>
      <c r="AME24" s="84"/>
      <c r="AMF24" s="84"/>
      <c r="AMG24" s="84"/>
      <c r="AMH24" s="84"/>
      <c r="AMI24" s="84"/>
      <c r="AMJ24" s="84"/>
      <c r="AMK24" s="84"/>
      <c r="AML24" s="84"/>
      <c r="AMM24" s="84"/>
      <c r="AMN24" s="84"/>
      <c r="AMO24" s="84"/>
      <c r="AMP24" s="84"/>
      <c r="AMQ24" s="84"/>
      <c r="AMR24" s="84"/>
      <c r="AMS24" s="84"/>
      <c r="AMT24" s="84"/>
      <c r="AMU24" s="84"/>
      <c r="AMV24" s="84"/>
      <c r="AMW24" s="84"/>
      <c r="AMX24" s="84"/>
      <c r="AMY24" s="84"/>
      <c r="AMZ24" s="84"/>
      <c r="ANA24" s="84"/>
      <c r="ANB24" s="84"/>
      <c r="ANC24" s="84"/>
      <c r="AND24" s="84"/>
      <c r="ANE24" s="84"/>
      <c r="ANF24" s="84"/>
      <c r="ANG24" s="84"/>
      <c r="ANH24" s="84"/>
      <c r="ANI24" s="84"/>
      <c r="ANJ24" s="84"/>
      <c r="ANK24" s="84"/>
      <c r="ANL24" s="84"/>
      <c r="ANM24" s="84"/>
      <c r="ANN24" s="84"/>
      <c r="ANO24" s="84"/>
      <c r="ANP24" s="84"/>
      <c r="ANQ24" s="84"/>
      <c r="ANR24" s="84"/>
      <c r="ANS24" s="84"/>
      <c r="ANT24" s="84"/>
      <c r="ANU24" s="84"/>
      <c r="ANV24" s="84"/>
      <c r="ANW24" s="84"/>
      <c r="ANX24" s="84"/>
      <c r="ANY24" s="84"/>
      <c r="ANZ24" s="84"/>
      <c r="AOA24" s="84"/>
      <c r="AOB24" s="84"/>
      <c r="AOC24" s="84"/>
      <c r="AOD24" s="84"/>
      <c r="AOE24" s="84"/>
      <c r="AOF24" s="84"/>
      <c r="AOG24" s="84"/>
      <c r="AOH24" s="84"/>
      <c r="AOI24" s="84"/>
      <c r="AOJ24" s="84"/>
      <c r="AOK24" s="84"/>
      <c r="AOL24" s="84"/>
      <c r="AOM24" s="84"/>
      <c r="AON24" s="84"/>
      <c r="AOO24" s="84"/>
      <c r="AOP24" s="84"/>
      <c r="AOQ24" s="84"/>
      <c r="AOR24" s="84"/>
      <c r="AOS24" s="84"/>
      <c r="AOT24" s="84"/>
      <c r="AOU24" s="84"/>
      <c r="AOV24" s="84"/>
      <c r="AOW24" s="84"/>
      <c r="AOX24" s="84"/>
      <c r="AOY24" s="84"/>
      <c r="AOZ24" s="84"/>
      <c r="APA24" s="84"/>
      <c r="APB24" s="84"/>
      <c r="APC24" s="84"/>
      <c r="APD24" s="84"/>
      <c r="APE24" s="84"/>
      <c r="APF24" s="84"/>
      <c r="APG24" s="84"/>
      <c r="APH24" s="84"/>
      <c r="API24" s="84"/>
      <c r="APJ24" s="84"/>
      <c r="APK24" s="84"/>
      <c r="APL24" s="84"/>
      <c r="APM24" s="84"/>
      <c r="APN24" s="84"/>
      <c r="APO24" s="84"/>
      <c r="APP24" s="84"/>
      <c r="APQ24" s="84"/>
      <c r="APR24" s="84"/>
      <c r="APS24" s="84"/>
      <c r="APT24" s="84"/>
      <c r="APU24" s="84"/>
      <c r="APV24" s="84"/>
      <c r="APW24" s="84"/>
      <c r="APX24" s="84"/>
      <c r="APY24" s="84"/>
      <c r="APZ24" s="84"/>
      <c r="AQA24" s="84"/>
      <c r="AQB24" s="84"/>
      <c r="AQC24" s="84"/>
      <c r="AQD24" s="84"/>
      <c r="AQE24" s="84"/>
      <c r="AQF24" s="84"/>
      <c r="AQG24" s="84"/>
      <c r="AQH24" s="84"/>
      <c r="AQI24" s="84"/>
      <c r="AQJ24" s="84"/>
      <c r="AQK24" s="84"/>
      <c r="AQL24" s="84"/>
      <c r="AQM24" s="84"/>
      <c r="AQN24" s="84"/>
      <c r="AQO24" s="84"/>
      <c r="AQP24" s="84"/>
      <c r="AQQ24" s="84"/>
      <c r="AQR24" s="84"/>
      <c r="AQS24" s="84"/>
      <c r="AQT24" s="84"/>
      <c r="AQU24" s="84"/>
      <c r="AQV24" s="84"/>
      <c r="AQW24" s="84"/>
      <c r="AQX24" s="84"/>
      <c r="AQY24" s="84"/>
      <c r="AQZ24" s="84"/>
      <c r="ARA24" s="84"/>
      <c r="ARB24" s="84"/>
      <c r="ARC24" s="84"/>
      <c r="ARD24" s="84"/>
      <c r="ARE24" s="84"/>
      <c r="ARF24" s="84"/>
      <c r="ARG24" s="84"/>
      <c r="ARH24" s="84"/>
      <c r="ARI24" s="84"/>
      <c r="ARJ24" s="84"/>
      <c r="ARK24" s="84"/>
      <c r="ARL24" s="84"/>
      <c r="ARM24" s="84"/>
      <c r="ARN24" s="84"/>
      <c r="ARO24" s="84"/>
      <c r="ARP24" s="84"/>
      <c r="ARQ24" s="84"/>
      <c r="ARR24" s="84"/>
      <c r="ARS24" s="84"/>
      <c r="ART24" s="84"/>
      <c r="ARU24" s="84"/>
      <c r="ARV24" s="84"/>
      <c r="ARW24" s="84"/>
      <c r="ARX24" s="84"/>
      <c r="ARY24" s="84"/>
      <c r="ARZ24" s="84"/>
      <c r="ASA24" s="84"/>
      <c r="ASB24" s="84"/>
      <c r="ASC24" s="84"/>
      <c r="ASD24" s="84"/>
      <c r="ASE24" s="84"/>
      <c r="ASF24" s="84"/>
      <c r="ASG24" s="84"/>
      <c r="ASH24" s="84"/>
      <c r="ASI24" s="84"/>
      <c r="ASJ24" s="84"/>
      <c r="ASK24" s="84"/>
      <c r="ASL24" s="84"/>
      <c r="ASM24" s="84"/>
      <c r="ASN24" s="84"/>
      <c r="ASO24" s="84"/>
      <c r="ASP24" s="84"/>
      <c r="ASQ24" s="84"/>
      <c r="ASR24" s="84"/>
      <c r="ASS24" s="84"/>
      <c r="AST24" s="84"/>
      <c r="ASU24" s="84"/>
      <c r="ASV24" s="84"/>
      <c r="ASW24" s="84"/>
      <c r="ASX24" s="84"/>
      <c r="ASY24" s="84"/>
      <c r="ASZ24" s="84"/>
      <c r="ATA24" s="84"/>
      <c r="ATB24" s="84"/>
      <c r="ATC24" s="84"/>
      <c r="ATD24" s="84"/>
      <c r="ATE24" s="84"/>
      <c r="ATF24" s="84"/>
      <c r="ATG24" s="84"/>
      <c r="ATH24" s="84"/>
      <c r="ATI24" s="84"/>
      <c r="ATJ24" s="84"/>
      <c r="ATK24" s="84"/>
      <c r="ATL24" s="84"/>
      <c r="ATM24" s="84"/>
      <c r="ATN24" s="84"/>
      <c r="ATO24" s="84"/>
      <c r="ATP24" s="84"/>
      <c r="ATQ24" s="84"/>
      <c r="ATR24" s="84"/>
      <c r="ATS24" s="84"/>
      <c r="ATT24" s="84"/>
      <c r="ATU24" s="84"/>
      <c r="ATV24" s="84"/>
      <c r="ATW24" s="84"/>
      <c r="ATX24" s="84"/>
      <c r="ATY24" s="84"/>
      <c r="ATZ24" s="84"/>
      <c r="AUA24" s="84"/>
      <c r="AUB24" s="84"/>
      <c r="AUC24" s="84"/>
      <c r="AUD24" s="84"/>
      <c r="AUE24" s="84"/>
      <c r="AUF24" s="84"/>
      <c r="AUG24" s="84"/>
      <c r="AUH24" s="84"/>
      <c r="AUI24" s="84"/>
      <c r="AUJ24" s="84"/>
      <c r="AUK24" s="84"/>
      <c r="AUL24" s="84"/>
      <c r="AUM24" s="84"/>
      <c r="AUN24" s="84"/>
      <c r="AUO24" s="84"/>
      <c r="AUP24" s="84"/>
      <c r="AUQ24" s="84"/>
      <c r="AUR24" s="84"/>
      <c r="AUS24" s="84"/>
      <c r="AUT24" s="84"/>
      <c r="AUU24" s="84"/>
      <c r="AUV24" s="84"/>
      <c r="AUW24" s="84"/>
      <c r="AUX24" s="84"/>
      <c r="AUY24" s="84"/>
      <c r="AUZ24" s="84"/>
      <c r="AVA24" s="84"/>
      <c r="AVB24" s="84"/>
      <c r="AVC24" s="84"/>
      <c r="AVD24" s="84"/>
      <c r="AVE24" s="84"/>
      <c r="AVF24" s="84"/>
      <c r="AVG24" s="84"/>
      <c r="AVH24" s="84"/>
      <c r="AVI24" s="84"/>
      <c r="AVJ24" s="84"/>
      <c r="AVK24" s="84"/>
      <c r="AVL24" s="84"/>
      <c r="AVM24" s="84"/>
      <c r="AVN24" s="84"/>
      <c r="AVO24" s="84"/>
      <c r="AVP24" s="84"/>
      <c r="AVQ24" s="84"/>
      <c r="AVR24" s="84"/>
      <c r="AVS24" s="84"/>
      <c r="AVT24" s="84"/>
      <c r="AVU24" s="84"/>
      <c r="AVV24" s="84"/>
      <c r="AVW24" s="84"/>
      <c r="AVX24" s="84"/>
      <c r="AVY24" s="84"/>
      <c r="AVZ24" s="84"/>
      <c r="AWA24" s="84"/>
      <c r="AWB24" s="84"/>
      <c r="AWC24" s="84"/>
      <c r="AWD24" s="84"/>
      <c r="AWE24" s="84"/>
      <c r="AWF24" s="84"/>
      <c r="AWG24" s="84"/>
      <c r="AWH24" s="84"/>
      <c r="AWI24" s="84"/>
      <c r="AWJ24" s="84"/>
      <c r="AWK24" s="84"/>
      <c r="AWL24" s="84"/>
      <c r="AWM24" s="84"/>
      <c r="AWN24" s="84"/>
      <c r="AWO24" s="84"/>
      <c r="AWP24" s="84"/>
      <c r="AWQ24" s="84"/>
      <c r="AWR24" s="84"/>
      <c r="AWS24" s="84"/>
      <c r="AWT24" s="84"/>
      <c r="AWU24" s="84"/>
      <c r="AWV24" s="84"/>
      <c r="AWW24" s="84"/>
      <c r="AWX24" s="84"/>
      <c r="AWY24" s="84"/>
      <c r="AWZ24" s="84"/>
      <c r="AXA24" s="84"/>
      <c r="AXB24" s="84"/>
      <c r="AXC24" s="84"/>
      <c r="AXD24" s="84"/>
      <c r="AXE24" s="84"/>
      <c r="AXF24" s="84"/>
      <c r="AXG24" s="84"/>
      <c r="AXH24" s="84"/>
      <c r="AXI24" s="84"/>
      <c r="AXJ24" s="84"/>
      <c r="AXK24" s="84"/>
      <c r="AXL24" s="84"/>
      <c r="AXM24" s="84"/>
      <c r="AXN24" s="84"/>
      <c r="AXO24" s="84"/>
      <c r="AXP24" s="84"/>
      <c r="AXQ24" s="84"/>
      <c r="AXR24" s="84"/>
      <c r="AXS24" s="84"/>
      <c r="AXT24" s="84"/>
      <c r="AXU24" s="84"/>
      <c r="AXV24" s="84"/>
      <c r="AXW24" s="84"/>
      <c r="AXX24" s="84"/>
      <c r="AXY24" s="84"/>
      <c r="AXZ24" s="84"/>
      <c r="AYA24" s="84"/>
      <c r="AYB24" s="84"/>
      <c r="AYC24" s="84"/>
      <c r="AYD24" s="84"/>
      <c r="AYE24" s="84"/>
      <c r="AYF24" s="84"/>
      <c r="AYG24" s="84"/>
      <c r="AYH24" s="84"/>
      <c r="AYI24" s="84"/>
      <c r="AYJ24" s="84"/>
      <c r="AYK24" s="84"/>
      <c r="AYL24" s="84"/>
      <c r="AYM24" s="84"/>
      <c r="AYN24" s="84"/>
      <c r="AYO24" s="84"/>
      <c r="AYP24" s="84"/>
      <c r="AYQ24" s="84"/>
      <c r="AYR24" s="84"/>
      <c r="AYS24" s="84"/>
      <c r="AYT24" s="84"/>
      <c r="AYU24" s="84"/>
      <c r="AYV24" s="84"/>
      <c r="AYW24" s="84"/>
      <c r="AYX24" s="84"/>
      <c r="AYY24" s="84"/>
      <c r="AYZ24" s="84"/>
      <c r="AZA24" s="84"/>
      <c r="AZB24" s="84"/>
      <c r="AZC24" s="84"/>
      <c r="AZD24" s="84"/>
      <c r="AZE24" s="84"/>
      <c r="AZF24" s="84"/>
      <c r="AZG24" s="84"/>
      <c r="AZH24" s="84"/>
      <c r="AZI24" s="84"/>
      <c r="AZJ24" s="84"/>
      <c r="AZK24" s="84"/>
      <c r="AZL24" s="84"/>
      <c r="AZM24" s="84"/>
      <c r="AZN24" s="84"/>
      <c r="AZO24" s="84"/>
      <c r="AZP24" s="84"/>
      <c r="AZQ24" s="84"/>
      <c r="AZR24" s="84"/>
      <c r="AZS24" s="84"/>
      <c r="AZT24" s="84"/>
      <c r="AZU24" s="84"/>
      <c r="AZV24" s="84"/>
      <c r="AZW24" s="84"/>
      <c r="AZX24" s="84"/>
      <c r="AZY24" s="84"/>
      <c r="AZZ24" s="84"/>
      <c r="BAA24" s="84"/>
      <c r="BAB24" s="84"/>
      <c r="BAC24" s="84"/>
      <c r="BAD24" s="84"/>
      <c r="BAE24" s="84"/>
      <c r="BAF24" s="84"/>
      <c r="BAG24" s="84"/>
      <c r="BAH24" s="84"/>
      <c r="BAI24" s="84"/>
      <c r="BAJ24" s="84"/>
      <c r="BAK24" s="84"/>
      <c r="BAL24" s="84"/>
      <c r="BAM24" s="84"/>
      <c r="BAN24" s="84"/>
      <c r="BAO24" s="84"/>
      <c r="BAP24" s="84"/>
      <c r="BAQ24" s="84"/>
      <c r="BAR24" s="84"/>
      <c r="BAS24" s="84"/>
      <c r="BAT24" s="84"/>
      <c r="BAU24" s="84"/>
      <c r="BAV24" s="84"/>
      <c r="BAW24" s="84"/>
      <c r="BAX24" s="84"/>
      <c r="BAY24" s="84"/>
      <c r="BAZ24" s="84"/>
      <c r="BBA24" s="84"/>
      <c r="BBB24" s="84"/>
      <c r="BBC24" s="84"/>
      <c r="BBD24" s="84"/>
      <c r="BBE24" s="84"/>
      <c r="BBF24" s="84"/>
      <c r="BBG24" s="84"/>
      <c r="BBH24" s="84"/>
      <c r="BBI24" s="84"/>
      <c r="BBJ24" s="84"/>
      <c r="BBK24" s="84"/>
      <c r="BBL24" s="84"/>
      <c r="BBM24" s="84"/>
      <c r="BBN24" s="84"/>
      <c r="BBO24" s="84"/>
      <c r="BBP24" s="84"/>
      <c r="BBQ24" s="84"/>
      <c r="BBR24" s="84"/>
      <c r="BBS24" s="84"/>
      <c r="BBT24" s="84"/>
      <c r="BBU24" s="84"/>
      <c r="BBV24" s="84"/>
      <c r="BBW24" s="84"/>
      <c r="BBX24" s="84"/>
      <c r="BBY24" s="84"/>
      <c r="BBZ24" s="84"/>
      <c r="BCA24" s="84"/>
      <c r="BCB24" s="84"/>
      <c r="BCC24" s="84"/>
      <c r="BCD24" s="84"/>
      <c r="BCE24" s="84"/>
      <c r="BCF24" s="84"/>
      <c r="BCG24" s="84"/>
      <c r="BCH24" s="84"/>
      <c r="BCI24" s="84"/>
      <c r="BCJ24" s="84"/>
      <c r="BCK24" s="84"/>
      <c r="BCL24" s="84"/>
      <c r="BCM24" s="84"/>
      <c r="BCN24" s="84"/>
      <c r="BCO24" s="84"/>
      <c r="BCP24" s="84"/>
      <c r="BCQ24" s="84"/>
      <c r="BCR24" s="84"/>
      <c r="BCS24" s="84"/>
      <c r="BCT24" s="84"/>
      <c r="BCU24" s="84"/>
      <c r="BCV24" s="84"/>
      <c r="BCW24" s="84"/>
      <c r="BCX24" s="84"/>
      <c r="BCY24" s="84"/>
      <c r="BCZ24" s="84"/>
      <c r="BDA24" s="84"/>
      <c r="BDB24" s="84"/>
      <c r="BDC24" s="84"/>
      <c r="BDD24" s="84"/>
      <c r="BDE24" s="84"/>
      <c r="BDF24" s="84"/>
      <c r="BDG24" s="84"/>
      <c r="BDH24" s="84"/>
      <c r="BDI24" s="84"/>
      <c r="BDJ24" s="84"/>
      <c r="BDK24" s="84"/>
      <c r="BDL24" s="84"/>
      <c r="BDM24" s="84"/>
      <c r="BDN24" s="84"/>
      <c r="BDO24" s="84"/>
      <c r="BDP24" s="84"/>
      <c r="BDQ24" s="84"/>
      <c r="BDR24" s="84"/>
      <c r="BDS24" s="84"/>
      <c r="BDT24" s="84"/>
      <c r="BDU24" s="84"/>
      <c r="BDV24" s="84"/>
      <c r="BDW24" s="84"/>
      <c r="BDX24" s="84"/>
      <c r="BDY24" s="84"/>
      <c r="BDZ24" s="84"/>
      <c r="BEA24" s="84"/>
      <c r="BEB24" s="84"/>
      <c r="BEC24" s="84"/>
      <c r="BED24" s="84"/>
      <c r="BEE24" s="84"/>
      <c r="BEF24" s="84"/>
      <c r="BEG24" s="84"/>
      <c r="BEH24" s="84"/>
      <c r="BEI24" s="84"/>
      <c r="BEJ24" s="84"/>
      <c r="BEK24" s="84"/>
      <c r="BEL24" s="84"/>
      <c r="BEM24" s="84"/>
      <c r="BEN24" s="84"/>
      <c r="BEO24" s="84"/>
      <c r="BEP24" s="84"/>
      <c r="BEQ24" s="84"/>
      <c r="BER24" s="84"/>
      <c r="BES24" s="84"/>
      <c r="BET24" s="84"/>
      <c r="BEU24" s="84"/>
      <c r="BEV24" s="84"/>
      <c r="BEW24" s="84"/>
      <c r="BEX24" s="84"/>
      <c r="BEY24" s="84"/>
      <c r="BEZ24" s="84"/>
      <c r="BFA24" s="84"/>
      <c r="BFB24" s="84"/>
      <c r="BFC24" s="84"/>
      <c r="BFD24" s="84"/>
      <c r="BFE24" s="84"/>
      <c r="BFF24" s="84"/>
      <c r="BFG24" s="84"/>
      <c r="BFH24" s="84"/>
      <c r="BFI24" s="84"/>
      <c r="BFJ24" s="84"/>
      <c r="BFK24" s="84"/>
      <c r="BFL24" s="84"/>
      <c r="BFM24" s="84"/>
      <c r="BFN24" s="84"/>
      <c r="BFO24" s="84"/>
      <c r="BFP24" s="84"/>
      <c r="BFQ24" s="84"/>
      <c r="BFR24" s="84"/>
      <c r="BFS24" s="84"/>
      <c r="BFT24" s="84"/>
      <c r="BFU24" s="84"/>
      <c r="BFV24" s="84"/>
      <c r="BFW24" s="84"/>
      <c r="BFX24" s="84"/>
      <c r="BFY24" s="84"/>
      <c r="BFZ24" s="84"/>
      <c r="BGA24" s="84"/>
      <c r="BGB24" s="84"/>
      <c r="BGC24" s="84"/>
      <c r="BGD24" s="84"/>
      <c r="BGE24" s="84"/>
      <c r="BGF24" s="84"/>
      <c r="BGG24" s="84"/>
      <c r="BGH24" s="84"/>
      <c r="BGI24" s="84"/>
      <c r="BGJ24" s="84"/>
      <c r="BGK24" s="84"/>
      <c r="BGL24" s="84"/>
      <c r="BGM24" s="84"/>
      <c r="BGN24" s="84"/>
      <c r="BGO24" s="84"/>
      <c r="BGP24" s="84"/>
      <c r="BGQ24" s="84"/>
      <c r="BGR24" s="84"/>
      <c r="BGS24" s="84"/>
      <c r="BGT24" s="84"/>
      <c r="BGU24" s="84"/>
      <c r="BGV24" s="84"/>
      <c r="BGW24" s="84"/>
      <c r="BGX24" s="84"/>
      <c r="BGY24" s="84"/>
      <c r="BGZ24" s="84"/>
      <c r="BHA24" s="84"/>
      <c r="BHB24" s="84"/>
      <c r="BHC24" s="84"/>
      <c r="BHD24" s="84"/>
      <c r="BHE24" s="84"/>
      <c r="BHF24" s="84"/>
      <c r="BHG24" s="84"/>
      <c r="BHH24" s="84"/>
      <c r="BHI24" s="84"/>
      <c r="BHJ24" s="84"/>
      <c r="BHK24" s="84"/>
      <c r="BHL24" s="84"/>
      <c r="BHM24" s="84"/>
      <c r="BHN24" s="84"/>
      <c r="BHO24" s="84"/>
      <c r="BHP24" s="84"/>
      <c r="BHQ24" s="84"/>
      <c r="BHR24" s="84"/>
      <c r="BHS24" s="84"/>
      <c r="BHT24" s="84"/>
      <c r="BHU24" s="84"/>
      <c r="BHV24" s="84"/>
      <c r="BHW24" s="84"/>
      <c r="BHX24" s="84"/>
      <c r="BHY24" s="84"/>
      <c r="BHZ24" s="84"/>
      <c r="BIA24" s="84"/>
      <c r="BIB24" s="84"/>
      <c r="BIC24" s="84"/>
      <c r="BID24" s="84"/>
      <c r="BIE24" s="84"/>
      <c r="BIF24" s="84"/>
      <c r="BIG24" s="84"/>
      <c r="BIH24" s="84"/>
      <c r="BII24" s="84"/>
      <c r="BIJ24" s="84"/>
      <c r="BIK24" s="84"/>
      <c r="BIL24" s="84"/>
      <c r="BIM24" s="84"/>
      <c r="BIN24" s="84"/>
      <c r="BIO24" s="84"/>
      <c r="BIP24" s="84"/>
      <c r="BIQ24" s="84"/>
      <c r="BIR24" s="84"/>
      <c r="BIS24" s="84"/>
      <c r="BIT24" s="84"/>
      <c r="BIU24" s="84"/>
      <c r="BIV24" s="84"/>
      <c r="BIW24" s="84"/>
      <c r="BIX24" s="84"/>
      <c r="BIY24" s="84"/>
      <c r="BIZ24" s="84"/>
      <c r="BJA24" s="84"/>
      <c r="BJB24" s="84"/>
      <c r="BJC24" s="84"/>
      <c r="BJD24" s="84"/>
      <c r="BJE24" s="84"/>
      <c r="BJF24" s="84"/>
      <c r="BJG24" s="84"/>
      <c r="BJH24" s="84"/>
      <c r="BJI24" s="84"/>
      <c r="BJJ24" s="84"/>
      <c r="BJK24" s="84"/>
      <c r="BJL24" s="84"/>
      <c r="BJM24" s="84"/>
      <c r="BJN24" s="84"/>
      <c r="BJO24" s="84"/>
      <c r="BJP24" s="84"/>
      <c r="BJQ24" s="84"/>
      <c r="BJR24" s="84"/>
      <c r="BJS24" s="84"/>
      <c r="BJT24" s="84"/>
      <c r="BJU24" s="84"/>
      <c r="BJV24" s="84"/>
      <c r="BJW24" s="84"/>
      <c r="BJX24" s="84"/>
      <c r="BJY24" s="84"/>
      <c r="BJZ24" s="84"/>
      <c r="BKA24" s="84"/>
      <c r="BKB24" s="84"/>
      <c r="BKC24" s="84"/>
      <c r="BKD24" s="84"/>
      <c r="BKE24" s="84"/>
      <c r="BKF24" s="84"/>
      <c r="BKG24" s="84"/>
      <c r="BKH24" s="84"/>
      <c r="BKI24" s="84"/>
      <c r="BKJ24" s="84"/>
      <c r="BKK24" s="84"/>
      <c r="BKL24" s="84"/>
      <c r="BKM24" s="84"/>
      <c r="BKN24" s="84"/>
      <c r="BKO24" s="84"/>
      <c r="BKP24" s="84"/>
      <c r="BKQ24" s="84"/>
      <c r="BKR24" s="84"/>
      <c r="BKS24" s="84"/>
      <c r="BKT24" s="84"/>
      <c r="BKU24" s="84"/>
      <c r="BKV24" s="84"/>
      <c r="BKW24" s="84"/>
      <c r="BKX24" s="84"/>
      <c r="BKY24" s="84"/>
      <c r="BKZ24" s="84"/>
      <c r="BLA24" s="84"/>
      <c r="BLB24" s="84"/>
      <c r="BLC24" s="84"/>
      <c r="BLD24" s="84"/>
      <c r="BLE24" s="84"/>
      <c r="BLF24" s="84"/>
      <c r="BLG24" s="84"/>
      <c r="BLH24" s="84"/>
      <c r="BLI24" s="84"/>
      <c r="BLJ24" s="84"/>
      <c r="BLK24" s="84"/>
      <c r="BLL24" s="84"/>
      <c r="BLM24" s="84"/>
      <c r="BLN24" s="84"/>
      <c r="BLO24" s="84"/>
      <c r="BLP24" s="84"/>
      <c r="BLQ24" s="84"/>
      <c r="BLR24" s="84"/>
      <c r="BLS24" s="84"/>
      <c r="BLT24" s="84"/>
      <c r="BLU24" s="84"/>
      <c r="BLV24" s="84"/>
      <c r="BLW24" s="84"/>
      <c r="BLX24" s="84"/>
      <c r="BLY24" s="84"/>
      <c r="BLZ24" s="84"/>
      <c r="BMA24" s="84"/>
      <c r="BMB24" s="84"/>
      <c r="BMC24" s="84"/>
      <c r="BMD24" s="84"/>
      <c r="BME24" s="84"/>
      <c r="BMF24" s="84"/>
      <c r="BMG24" s="84"/>
      <c r="BMH24" s="84"/>
      <c r="BMI24" s="84"/>
      <c r="BMJ24" s="84"/>
      <c r="BMK24" s="84"/>
      <c r="BML24" s="84"/>
      <c r="BMM24" s="84"/>
      <c r="BMN24" s="84"/>
      <c r="BMO24" s="84"/>
      <c r="BMP24" s="84"/>
      <c r="BMQ24" s="84"/>
      <c r="BMR24" s="84"/>
      <c r="BMS24" s="84"/>
      <c r="BMT24" s="84"/>
      <c r="BMU24" s="84"/>
      <c r="BMV24" s="84"/>
      <c r="BMW24" s="84"/>
      <c r="BMX24" s="84"/>
      <c r="BMY24" s="84"/>
      <c r="BMZ24" s="84"/>
      <c r="BNA24" s="84"/>
      <c r="BNB24" s="84"/>
      <c r="BNC24" s="84"/>
      <c r="BND24" s="84"/>
      <c r="BNE24" s="84"/>
      <c r="BNF24" s="84"/>
      <c r="BNG24" s="84"/>
      <c r="BNH24" s="84"/>
      <c r="BNI24" s="84"/>
      <c r="BNJ24" s="84"/>
      <c r="BNK24" s="84"/>
      <c r="BNL24" s="84"/>
      <c r="BNM24" s="84"/>
      <c r="BNN24" s="84"/>
      <c r="BNO24" s="84"/>
      <c r="BNP24" s="84"/>
      <c r="BNQ24" s="84"/>
      <c r="BNR24" s="84"/>
      <c r="BNS24" s="84"/>
      <c r="BNT24" s="84"/>
      <c r="BNU24" s="84"/>
      <c r="BNV24" s="84"/>
      <c r="BNW24" s="84"/>
      <c r="BNX24" s="84"/>
      <c r="BNY24" s="84"/>
      <c r="BNZ24" s="84"/>
      <c r="BOA24" s="84"/>
      <c r="BOB24" s="84"/>
      <c r="BOC24" s="84"/>
      <c r="BOD24" s="84"/>
      <c r="BOE24" s="84"/>
      <c r="BOF24" s="84"/>
      <c r="BOG24" s="84"/>
      <c r="BOH24" s="84"/>
      <c r="BOI24" s="84"/>
      <c r="BOJ24" s="84"/>
      <c r="BOK24" s="84"/>
      <c r="BOL24" s="84"/>
      <c r="BOM24" s="84"/>
      <c r="BON24" s="84"/>
      <c r="BOO24" s="84"/>
      <c r="BOP24" s="84"/>
      <c r="BOQ24" s="84"/>
      <c r="BOR24" s="84"/>
      <c r="BOS24" s="84"/>
      <c r="BOT24" s="84"/>
      <c r="BOU24" s="84"/>
      <c r="BOV24" s="84"/>
      <c r="BOW24" s="84"/>
      <c r="BOX24" s="84"/>
      <c r="BOY24" s="84"/>
      <c r="BOZ24" s="84"/>
      <c r="BPA24" s="84"/>
      <c r="BPB24" s="84"/>
      <c r="BPC24" s="84"/>
      <c r="BPD24" s="84"/>
      <c r="BPE24" s="84"/>
      <c r="BPF24" s="84"/>
      <c r="BPG24" s="84"/>
      <c r="BPH24" s="84"/>
      <c r="BPI24" s="84"/>
      <c r="BPJ24" s="84"/>
      <c r="BPK24" s="84"/>
      <c r="BPL24" s="84"/>
      <c r="BPM24" s="84"/>
      <c r="BPN24" s="84"/>
      <c r="BPO24" s="84"/>
      <c r="BPP24" s="84"/>
      <c r="BPQ24" s="84"/>
      <c r="BPR24" s="84"/>
      <c r="BPS24" s="84"/>
      <c r="BPT24" s="84"/>
      <c r="BPU24" s="84"/>
      <c r="BPV24" s="84"/>
      <c r="BPW24" s="84"/>
      <c r="BPX24" s="84"/>
      <c r="BPY24" s="84"/>
      <c r="BPZ24" s="84"/>
      <c r="BQA24" s="84"/>
      <c r="BQB24" s="84"/>
      <c r="BQC24" s="84"/>
      <c r="BQD24" s="84"/>
      <c r="BQE24" s="84"/>
      <c r="BQF24" s="84"/>
      <c r="BQG24" s="84"/>
      <c r="BQH24" s="84"/>
      <c r="BQI24" s="84"/>
      <c r="BQJ24" s="84"/>
      <c r="BQK24" s="84"/>
      <c r="BQL24" s="84"/>
      <c r="BQM24" s="84"/>
      <c r="BQN24" s="84"/>
      <c r="BQO24" s="84"/>
      <c r="BQP24" s="84"/>
      <c r="BQQ24" s="84"/>
      <c r="BQR24" s="84"/>
      <c r="BQS24" s="84"/>
      <c r="BQT24" s="84"/>
      <c r="BQU24" s="84"/>
      <c r="BQV24" s="84"/>
      <c r="BQW24" s="84"/>
      <c r="BQX24" s="84"/>
      <c r="BQY24" s="84"/>
      <c r="BQZ24" s="84"/>
      <c r="BRA24" s="84"/>
      <c r="BRB24" s="84"/>
      <c r="BRC24" s="84"/>
      <c r="BRD24" s="84"/>
      <c r="BRE24" s="84"/>
      <c r="BRF24" s="84"/>
      <c r="BRG24" s="84"/>
      <c r="BRH24" s="84"/>
      <c r="BRI24" s="84"/>
      <c r="BRJ24" s="84"/>
      <c r="BRK24" s="84"/>
      <c r="BRL24" s="84"/>
      <c r="BRM24" s="84"/>
      <c r="BRN24" s="84"/>
      <c r="BRO24" s="84"/>
      <c r="BRP24" s="84"/>
      <c r="BRQ24" s="84"/>
      <c r="BRR24" s="84"/>
      <c r="BRS24" s="84"/>
      <c r="BRT24" s="84"/>
      <c r="BRU24" s="84"/>
      <c r="BRV24" s="84"/>
      <c r="BRW24" s="84"/>
      <c r="BRX24" s="84"/>
      <c r="BRY24" s="84"/>
      <c r="BRZ24" s="84"/>
      <c r="BSA24" s="84"/>
      <c r="BSB24" s="84"/>
      <c r="BSC24" s="84"/>
      <c r="BSD24" s="84"/>
      <c r="BSE24" s="84"/>
      <c r="BSF24" s="84"/>
      <c r="BSG24" s="84"/>
      <c r="BSH24" s="84"/>
      <c r="BSI24" s="84"/>
      <c r="BSJ24" s="84"/>
      <c r="BSK24" s="84"/>
      <c r="BSL24" s="84"/>
      <c r="BSM24" s="84"/>
      <c r="BSN24" s="84"/>
      <c r="BSO24" s="84"/>
      <c r="BSP24" s="84"/>
      <c r="BSQ24" s="84"/>
      <c r="BSR24" s="84"/>
      <c r="BSS24" s="84"/>
      <c r="BST24" s="84"/>
      <c r="BSU24" s="84"/>
      <c r="BSV24" s="84"/>
      <c r="BSW24" s="84"/>
      <c r="BSX24" s="84"/>
      <c r="BSY24" s="84"/>
      <c r="BSZ24" s="84"/>
      <c r="BTA24" s="84"/>
      <c r="BTB24" s="84"/>
      <c r="BTC24" s="84"/>
      <c r="BTD24" s="84"/>
      <c r="BTE24" s="84"/>
      <c r="BTF24" s="84"/>
      <c r="BTG24" s="84"/>
      <c r="BTH24" s="84"/>
      <c r="BTI24" s="84"/>
      <c r="BTJ24" s="84"/>
      <c r="BTK24" s="84"/>
      <c r="BTL24" s="84"/>
      <c r="BTM24" s="84"/>
      <c r="BTN24" s="84"/>
      <c r="BTO24" s="84"/>
      <c r="BTP24" s="84"/>
      <c r="BTQ24" s="84"/>
      <c r="BTR24" s="84"/>
      <c r="BTS24" s="84"/>
      <c r="BTT24" s="84"/>
      <c r="BTU24" s="84"/>
      <c r="BTV24" s="84"/>
      <c r="BTW24" s="84"/>
      <c r="BTX24" s="84"/>
      <c r="BTY24" s="84"/>
      <c r="BTZ24" s="84"/>
      <c r="BUA24" s="84"/>
      <c r="BUB24" s="84"/>
      <c r="BUC24" s="84"/>
      <c r="BUD24" s="84"/>
      <c r="BUE24" s="84"/>
      <c r="BUF24" s="84"/>
      <c r="BUG24" s="84"/>
      <c r="BUH24" s="84"/>
      <c r="BUI24" s="84"/>
      <c r="BUJ24" s="84"/>
      <c r="BUK24" s="84"/>
      <c r="BUL24" s="84"/>
      <c r="BUM24" s="84"/>
      <c r="BUN24" s="84"/>
      <c r="BUO24" s="84"/>
      <c r="BUP24" s="84"/>
      <c r="BUQ24" s="84"/>
      <c r="BUR24" s="84"/>
      <c r="BUS24" s="84"/>
      <c r="BUT24" s="84"/>
      <c r="BUU24" s="84"/>
      <c r="BUV24" s="84"/>
      <c r="BUW24" s="84"/>
      <c r="BUX24" s="84"/>
      <c r="BUY24" s="84"/>
      <c r="BUZ24" s="84"/>
      <c r="BVA24" s="84"/>
      <c r="BVB24" s="84"/>
      <c r="BVC24" s="84"/>
      <c r="BVD24" s="84"/>
      <c r="BVE24" s="84"/>
      <c r="BVF24" s="84"/>
      <c r="BVG24" s="84"/>
      <c r="BVH24" s="84"/>
      <c r="BVI24" s="84"/>
      <c r="BVJ24" s="84"/>
      <c r="BVK24" s="84"/>
      <c r="BVL24" s="84"/>
      <c r="BVM24" s="84"/>
      <c r="BVN24" s="84"/>
      <c r="BVO24" s="84"/>
      <c r="BVP24" s="84"/>
      <c r="BVQ24" s="84"/>
      <c r="BVR24" s="84"/>
      <c r="BVS24" s="84"/>
      <c r="BVT24" s="84"/>
      <c r="BVU24" s="84"/>
      <c r="BVV24" s="84"/>
      <c r="BVW24" s="84"/>
      <c r="BVX24" s="84"/>
      <c r="BVY24" s="84"/>
      <c r="BVZ24" s="84"/>
      <c r="BWA24" s="84"/>
      <c r="BWB24" s="84"/>
      <c r="BWC24" s="84"/>
      <c r="BWD24" s="84"/>
      <c r="BWE24" s="84"/>
      <c r="BWF24" s="84"/>
      <c r="BWG24" s="84"/>
      <c r="BWH24" s="84"/>
      <c r="BWI24" s="84"/>
      <c r="BWJ24" s="84"/>
      <c r="BWK24" s="84"/>
      <c r="BWL24" s="84"/>
      <c r="BWM24" s="84"/>
      <c r="BWN24" s="84"/>
      <c r="BWO24" s="84"/>
      <c r="BWP24" s="84"/>
      <c r="BWQ24" s="84"/>
      <c r="BWR24" s="84"/>
      <c r="BWS24" s="84"/>
      <c r="BWT24" s="84"/>
      <c r="BWU24" s="84"/>
      <c r="BWV24" s="84"/>
      <c r="BWW24" s="84"/>
      <c r="BWX24" s="84"/>
      <c r="BWY24" s="84"/>
      <c r="BWZ24" s="84"/>
      <c r="BXA24" s="84"/>
      <c r="BXB24" s="84"/>
      <c r="BXC24" s="84"/>
      <c r="BXD24" s="84"/>
      <c r="BXE24" s="84"/>
      <c r="BXF24" s="84"/>
      <c r="BXG24" s="84"/>
      <c r="BXH24" s="84"/>
      <c r="BXI24" s="84"/>
      <c r="BXJ24" s="84"/>
      <c r="BXK24" s="84"/>
      <c r="BXL24" s="84"/>
      <c r="BXM24" s="84"/>
      <c r="BXN24" s="84"/>
      <c r="BXO24" s="84"/>
      <c r="BXP24" s="84"/>
      <c r="BXQ24" s="84"/>
      <c r="BXR24" s="84"/>
      <c r="BXS24" s="84"/>
      <c r="BXT24" s="84"/>
      <c r="BXU24" s="84"/>
      <c r="BXV24" s="84"/>
      <c r="BXW24" s="84"/>
      <c r="BXX24" s="84"/>
      <c r="BXY24" s="84"/>
      <c r="BXZ24" s="84"/>
      <c r="BYA24" s="84"/>
      <c r="BYB24" s="84"/>
      <c r="BYC24" s="84"/>
      <c r="BYD24" s="84"/>
      <c r="BYE24" s="84"/>
      <c r="BYF24" s="84"/>
      <c r="BYG24" s="84"/>
      <c r="BYH24" s="84"/>
      <c r="BYI24" s="84"/>
      <c r="BYJ24" s="84"/>
      <c r="BYK24" s="84"/>
      <c r="BYL24" s="84"/>
      <c r="BYM24" s="84"/>
      <c r="BYN24" s="84"/>
      <c r="BYO24" s="84"/>
      <c r="BYP24" s="84"/>
      <c r="BYQ24" s="84"/>
      <c r="BYR24" s="84"/>
      <c r="BYS24" s="84"/>
      <c r="BYT24" s="84"/>
      <c r="BYU24" s="84"/>
      <c r="BYV24" s="84"/>
      <c r="BYW24" s="84"/>
      <c r="BYX24" s="84"/>
      <c r="BYY24" s="84"/>
      <c r="BYZ24" s="84"/>
      <c r="BZA24" s="84"/>
      <c r="BZB24" s="84"/>
      <c r="BZC24" s="84"/>
      <c r="BZD24" s="84"/>
      <c r="BZE24" s="84"/>
      <c r="BZF24" s="84"/>
      <c r="BZG24" s="84"/>
      <c r="BZH24" s="84"/>
      <c r="BZI24" s="84"/>
      <c r="BZJ24" s="84"/>
      <c r="BZK24" s="84"/>
      <c r="BZL24" s="84"/>
      <c r="BZM24" s="84"/>
      <c r="BZN24" s="84"/>
      <c r="BZO24" s="84"/>
      <c r="BZP24" s="84"/>
      <c r="BZQ24" s="84"/>
      <c r="BZR24" s="84"/>
      <c r="BZS24" s="84"/>
      <c r="BZT24" s="84"/>
      <c r="BZU24" s="84"/>
      <c r="BZV24" s="84"/>
      <c r="BZW24" s="84"/>
      <c r="BZX24" s="84"/>
      <c r="BZY24" s="84"/>
      <c r="BZZ24" s="84"/>
      <c r="CAA24" s="84"/>
      <c r="CAB24" s="84"/>
      <c r="CAC24" s="84"/>
      <c r="CAD24" s="84"/>
      <c r="CAE24" s="84"/>
      <c r="CAF24" s="84"/>
      <c r="CAG24" s="84"/>
      <c r="CAH24" s="84"/>
      <c r="CAI24" s="84"/>
      <c r="CAJ24" s="84"/>
      <c r="CAK24" s="84"/>
      <c r="CAL24" s="84"/>
      <c r="CAM24" s="84"/>
      <c r="CAN24" s="84"/>
      <c r="CAO24" s="84"/>
      <c r="CAP24" s="84"/>
      <c r="CAQ24" s="84"/>
      <c r="CAR24" s="84"/>
      <c r="CAS24" s="84"/>
      <c r="CAT24" s="84"/>
      <c r="CAU24" s="84"/>
      <c r="CAV24" s="84"/>
      <c r="CAW24" s="84"/>
      <c r="CAX24" s="84"/>
      <c r="CAY24" s="84"/>
      <c r="CAZ24" s="84"/>
      <c r="CBA24" s="84"/>
      <c r="CBB24" s="84"/>
      <c r="CBC24" s="84"/>
      <c r="CBD24" s="84"/>
      <c r="CBE24" s="84"/>
      <c r="CBF24" s="84"/>
      <c r="CBG24" s="84"/>
      <c r="CBH24" s="84"/>
      <c r="CBI24" s="84"/>
      <c r="CBJ24" s="84"/>
      <c r="CBK24" s="84"/>
      <c r="CBL24" s="84"/>
      <c r="CBM24" s="84"/>
      <c r="CBN24" s="84"/>
      <c r="CBO24" s="84"/>
      <c r="CBP24" s="84"/>
      <c r="CBQ24" s="84"/>
      <c r="CBR24" s="84"/>
      <c r="CBS24" s="84"/>
      <c r="CBT24" s="84"/>
      <c r="CBU24" s="84"/>
      <c r="CBV24" s="84"/>
      <c r="CBW24" s="84"/>
      <c r="CBX24" s="84"/>
      <c r="CBY24" s="84"/>
      <c r="CBZ24" s="84"/>
      <c r="CCA24" s="84"/>
      <c r="CCB24" s="84"/>
      <c r="CCC24" s="84"/>
      <c r="CCD24" s="84"/>
      <c r="CCE24" s="84"/>
      <c r="CCF24" s="84"/>
      <c r="CCG24" s="84"/>
      <c r="CCH24" s="84"/>
      <c r="CCI24" s="84"/>
      <c r="CCJ24" s="84"/>
      <c r="CCK24" s="84"/>
      <c r="CCL24" s="84"/>
      <c r="CCM24" s="84"/>
      <c r="CCN24" s="84"/>
      <c r="CCO24" s="84"/>
      <c r="CCP24" s="84"/>
      <c r="CCQ24" s="84"/>
      <c r="CCR24" s="84"/>
      <c r="CCS24" s="84"/>
      <c r="CCT24" s="84"/>
      <c r="CCU24" s="84"/>
      <c r="CCV24" s="84"/>
      <c r="CCW24" s="84"/>
      <c r="CCX24" s="84"/>
      <c r="CCY24" s="84"/>
      <c r="CCZ24" s="84"/>
      <c r="CDA24" s="84"/>
      <c r="CDB24" s="84"/>
      <c r="CDC24" s="84"/>
      <c r="CDD24" s="84"/>
      <c r="CDE24" s="84"/>
      <c r="CDF24" s="84"/>
      <c r="CDG24" s="84"/>
      <c r="CDH24" s="84"/>
      <c r="CDI24" s="84"/>
      <c r="CDJ24" s="84"/>
      <c r="CDK24" s="84"/>
      <c r="CDL24" s="84"/>
      <c r="CDM24" s="84"/>
      <c r="CDN24" s="84"/>
      <c r="CDO24" s="84"/>
      <c r="CDP24" s="84"/>
      <c r="CDQ24" s="84"/>
      <c r="CDR24" s="84"/>
      <c r="CDS24" s="84"/>
      <c r="CDT24" s="84"/>
      <c r="CDU24" s="84"/>
      <c r="CDV24" s="84"/>
      <c r="CDW24" s="84"/>
      <c r="CDX24" s="84"/>
      <c r="CDY24" s="84"/>
      <c r="CDZ24" s="84"/>
      <c r="CEA24" s="84"/>
      <c r="CEB24" s="84"/>
      <c r="CEC24" s="84"/>
      <c r="CED24" s="84"/>
      <c r="CEE24" s="84"/>
      <c r="CEF24" s="84"/>
      <c r="CEG24" s="84"/>
      <c r="CEH24" s="84"/>
      <c r="CEI24" s="84"/>
      <c r="CEJ24" s="84"/>
      <c r="CEK24" s="84"/>
      <c r="CEL24" s="84"/>
      <c r="CEM24" s="84"/>
      <c r="CEN24" s="84"/>
      <c r="CEO24" s="84"/>
      <c r="CEP24" s="84"/>
      <c r="CEQ24" s="84"/>
      <c r="CER24" s="84"/>
      <c r="CES24" s="84"/>
      <c r="CET24" s="84"/>
      <c r="CEU24" s="84"/>
      <c r="CEV24" s="84"/>
      <c r="CEW24" s="84"/>
      <c r="CEX24" s="84"/>
      <c r="CEY24" s="84"/>
      <c r="CEZ24" s="84"/>
      <c r="CFA24" s="84"/>
      <c r="CFB24" s="84"/>
      <c r="CFC24" s="84"/>
      <c r="CFD24" s="84"/>
      <c r="CFE24" s="84"/>
      <c r="CFF24" s="84"/>
      <c r="CFG24" s="84"/>
      <c r="CFH24" s="84"/>
      <c r="CFI24" s="84"/>
      <c r="CFJ24" s="84"/>
      <c r="CFK24" s="84"/>
      <c r="CFL24" s="84"/>
      <c r="CFM24" s="84"/>
      <c r="CFN24" s="84"/>
      <c r="CFO24" s="84"/>
      <c r="CFP24" s="84"/>
      <c r="CFQ24" s="84"/>
      <c r="CFR24" s="84"/>
      <c r="CFS24" s="84"/>
      <c r="CFT24" s="84"/>
      <c r="CFU24" s="84"/>
      <c r="CFV24" s="84"/>
      <c r="CFW24" s="84"/>
      <c r="CFX24" s="84"/>
      <c r="CFY24" s="84"/>
      <c r="CFZ24" s="84"/>
      <c r="CGA24" s="84"/>
      <c r="CGB24" s="84"/>
      <c r="CGC24" s="84"/>
      <c r="CGD24" s="84"/>
      <c r="CGE24" s="84"/>
      <c r="CGF24" s="84"/>
      <c r="CGG24" s="84"/>
      <c r="CGH24" s="84"/>
      <c r="CGI24" s="84"/>
      <c r="CGJ24" s="84"/>
      <c r="CGK24" s="84"/>
      <c r="CGL24" s="84"/>
      <c r="CGM24" s="84"/>
      <c r="CGN24" s="84"/>
      <c r="CGO24" s="84"/>
      <c r="CGP24" s="84"/>
      <c r="CGQ24" s="84"/>
      <c r="CGR24" s="84"/>
      <c r="CGS24" s="84"/>
      <c r="CGT24" s="84"/>
      <c r="CGU24" s="84"/>
      <c r="CGV24" s="84"/>
      <c r="CGW24" s="84"/>
      <c r="CGX24" s="84"/>
      <c r="CGY24" s="84"/>
      <c r="CGZ24" s="84"/>
      <c r="CHA24" s="84"/>
      <c r="CHB24" s="84"/>
      <c r="CHC24" s="84"/>
      <c r="CHD24" s="84"/>
      <c r="CHE24" s="84"/>
      <c r="CHF24" s="84"/>
      <c r="CHG24" s="84"/>
      <c r="CHH24" s="84"/>
      <c r="CHI24" s="84"/>
      <c r="CHJ24" s="84"/>
      <c r="CHK24" s="84"/>
      <c r="CHL24" s="84"/>
      <c r="CHM24" s="84"/>
      <c r="CHN24" s="84"/>
      <c r="CHO24" s="84"/>
      <c r="CHP24" s="84"/>
      <c r="CHQ24" s="84"/>
      <c r="CHR24" s="84"/>
      <c r="CHS24" s="84"/>
      <c r="CHT24" s="84"/>
      <c r="CHU24" s="84"/>
      <c r="CHV24" s="84"/>
      <c r="CHW24" s="84"/>
      <c r="CHX24" s="84"/>
      <c r="CHY24" s="84"/>
      <c r="CHZ24" s="84"/>
      <c r="CIA24" s="84"/>
      <c r="CIB24" s="84"/>
      <c r="CIC24" s="84"/>
      <c r="CID24" s="84"/>
      <c r="CIE24" s="84"/>
      <c r="CIF24" s="84"/>
      <c r="CIG24" s="84"/>
      <c r="CIH24" s="84"/>
      <c r="CII24" s="84"/>
      <c r="CIJ24" s="84"/>
      <c r="CIK24" s="84"/>
      <c r="CIL24" s="84"/>
      <c r="CIM24" s="84"/>
      <c r="CIN24" s="84"/>
      <c r="CIO24" s="84"/>
      <c r="CIP24" s="84"/>
      <c r="CIQ24" s="84"/>
      <c r="CIR24" s="84"/>
      <c r="CIS24" s="84"/>
      <c r="CIT24" s="84"/>
      <c r="CIU24" s="84"/>
      <c r="CIV24" s="84"/>
      <c r="CIW24" s="84"/>
      <c r="CIX24" s="84"/>
      <c r="CIY24" s="84"/>
      <c r="CIZ24" s="84"/>
      <c r="CJA24" s="84"/>
      <c r="CJB24" s="84"/>
      <c r="CJC24" s="84"/>
      <c r="CJD24" s="84"/>
      <c r="CJE24" s="84"/>
      <c r="CJF24" s="84"/>
      <c r="CJG24" s="84"/>
      <c r="CJH24" s="84"/>
      <c r="CJI24" s="84"/>
      <c r="CJJ24" s="84"/>
      <c r="CJK24" s="84"/>
      <c r="CJL24" s="84"/>
      <c r="CJM24" s="84"/>
      <c r="CJN24" s="84"/>
      <c r="CJO24" s="84"/>
      <c r="CJP24" s="84"/>
      <c r="CJQ24" s="84"/>
      <c r="CJR24" s="84"/>
      <c r="CJS24" s="84"/>
      <c r="CJT24" s="84"/>
      <c r="CJU24" s="84"/>
      <c r="CJV24" s="84"/>
      <c r="CJW24" s="84"/>
      <c r="CJX24" s="84"/>
      <c r="CJY24" s="84"/>
      <c r="CJZ24" s="84"/>
      <c r="CKA24" s="84"/>
      <c r="CKB24" s="84"/>
      <c r="CKC24" s="84"/>
      <c r="CKD24" s="84"/>
      <c r="CKE24" s="84"/>
      <c r="CKF24" s="84"/>
      <c r="CKG24" s="84"/>
      <c r="CKH24" s="84"/>
      <c r="CKI24" s="84"/>
      <c r="CKJ24" s="84"/>
      <c r="CKK24" s="84"/>
      <c r="CKL24" s="84"/>
      <c r="CKM24" s="84"/>
      <c r="CKN24" s="84"/>
      <c r="CKO24" s="84"/>
      <c r="CKP24" s="84"/>
      <c r="CKQ24" s="84"/>
      <c r="CKR24" s="84"/>
      <c r="CKS24" s="84"/>
      <c r="CKT24" s="84"/>
      <c r="CKU24" s="84"/>
      <c r="CKV24" s="84"/>
      <c r="CKW24" s="84"/>
      <c r="CKX24" s="84"/>
      <c r="CKY24" s="84"/>
      <c r="CKZ24" s="84"/>
      <c r="CLA24" s="84"/>
      <c r="CLB24" s="84"/>
      <c r="CLC24" s="84"/>
      <c r="CLD24" s="84"/>
      <c r="CLE24" s="84"/>
      <c r="CLF24" s="84"/>
      <c r="CLG24" s="84"/>
      <c r="CLH24" s="84"/>
      <c r="CLI24" s="84"/>
      <c r="CLJ24" s="84"/>
      <c r="CLK24" s="84"/>
      <c r="CLL24" s="84"/>
      <c r="CLM24" s="84"/>
      <c r="CLN24" s="84"/>
      <c r="CLO24" s="84"/>
      <c r="CLP24" s="84"/>
      <c r="CLQ24" s="84"/>
      <c r="CLR24" s="84"/>
      <c r="CLS24" s="84"/>
      <c r="CLT24" s="84"/>
      <c r="CLU24" s="84"/>
      <c r="CLV24" s="84"/>
      <c r="CLW24" s="84"/>
      <c r="CLX24" s="84"/>
      <c r="CLY24" s="84"/>
      <c r="CLZ24" s="84"/>
      <c r="CMA24" s="84"/>
      <c r="CMB24" s="84"/>
      <c r="CMC24" s="84"/>
      <c r="CMD24" s="84"/>
      <c r="CME24" s="84"/>
      <c r="CMF24" s="84"/>
      <c r="CMG24" s="84"/>
      <c r="CMH24" s="84"/>
      <c r="CMI24" s="84"/>
      <c r="CMJ24" s="84"/>
      <c r="CMK24" s="84"/>
      <c r="CML24" s="84"/>
      <c r="CMM24" s="84"/>
      <c r="CMN24" s="84"/>
      <c r="CMO24" s="84"/>
      <c r="CMP24" s="84"/>
      <c r="CMQ24" s="84"/>
      <c r="CMR24" s="84"/>
      <c r="CMS24" s="84"/>
      <c r="CMT24" s="84"/>
      <c r="CMU24" s="84"/>
      <c r="CMV24" s="84"/>
      <c r="CMW24" s="84"/>
      <c r="CMX24" s="84"/>
      <c r="CMY24" s="84"/>
      <c r="CMZ24" s="84"/>
      <c r="CNA24" s="84"/>
      <c r="CNB24" s="84"/>
      <c r="CNC24" s="84"/>
      <c r="CND24" s="84"/>
      <c r="CNE24" s="84"/>
      <c r="CNF24" s="84"/>
      <c r="CNG24" s="84"/>
      <c r="CNH24" s="84"/>
      <c r="CNI24" s="84"/>
      <c r="CNJ24" s="84"/>
      <c r="CNK24" s="84"/>
      <c r="CNL24" s="84"/>
      <c r="CNM24" s="84"/>
      <c r="CNN24" s="84"/>
      <c r="CNO24" s="84"/>
      <c r="CNP24" s="84"/>
      <c r="CNQ24" s="84"/>
      <c r="CNR24" s="84"/>
      <c r="CNS24" s="84"/>
      <c r="CNT24" s="84"/>
      <c r="CNU24" s="84"/>
      <c r="CNV24" s="84"/>
      <c r="CNW24" s="84"/>
      <c r="CNX24" s="84"/>
      <c r="CNY24" s="84"/>
      <c r="CNZ24" s="84"/>
      <c r="COA24" s="84"/>
      <c r="COB24" s="84"/>
      <c r="COC24" s="84"/>
      <c r="COD24" s="84"/>
      <c r="COE24" s="84"/>
      <c r="COF24" s="84"/>
      <c r="COG24" s="84"/>
      <c r="COH24" s="84"/>
      <c r="COI24" s="84"/>
      <c r="COJ24" s="84"/>
      <c r="COK24" s="84"/>
      <c r="COL24" s="84"/>
      <c r="COM24" s="84"/>
      <c r="CON24" s="84"/>
      <c r="COO24" s="84"/>
      <c r="COP24" s="84"/>
      <c r="COQ24" s="84"/>
      <c r="COR24" s="84"/>
      <c r="COS24" s="84"/>
      <c r="COT24" s="84"/>
      <c r="COU24" s="84"/>
      <c r="COV24" s="84"/>
      <c r="COW24" s="84"/>
      <c r="COX24" s="84"/>
      <c r="COY24" s="84"/>
      <c r="COZ24" s="84"/>
      <c r="CPA24" s="84"/>
      <c r="CPB24" s="84"/>
      <c r="CPC24" s="84"/>
      <c r="CPD24" s="84"/>
      <c r="CPE24" s="84"/>
      <c r="CPF24" s="84"/>
      <c r="CPG24" s="84"/>
      <c r="CPH24" s="84"/>
      <c r="CPI24" s="84"/>
      <c r="CPJ24" s="84"/>
      <c r="CPK24" s="84"/>
      <c r="CPL24" s="84"/>
      <c r="CPM24" s="84"/>
      <c r="CPN24" s="84"/>
      <c r="CPO24" s="84"/>
      <c r="CPP24" s="84"/>
      <c r="CPQ24" s="84"/>
      <c r="CPR24" s="84"/>
      <c r="CPS24" s="84"/>
      <c r="CPT24" s="84"/>
      <c r="CPU24" s="84"/>
      <c r="CPV24" s="84"/>
      <c r="CPW24" s="84"/>
      <c r="CPX24" s="84"/>
      <c r="CPY24" s="84"/>
      <c r="CPZ24" s="84"/>
      <c r="CQA24" s="84"/>
      <c r="CQB24" s="84"/>
      <c r="CQC24" s="84"/>
      <c r="CQD24" s="84"/>
      <c r="CQE24" s="84"/>
      <c r="CQF24" s="84"/>
      <c r="CQG24" s="84"/>
      <c r="CQH24" s="84"/>
      <c r="CQI24" s="84"/>
      <c r="CQJ24" s="84"/>
      <c r="CQK24" s="84"/>
      <c r="CQL24" s="84"/>
      <c r="CQM24" s="84"/>
      <c r="CQN24" s="84"/>
      <c r="CQO24" s="84"/>
      <c r="CQP24" s="84"/>
      <c r="CQQ24" s="84"/>
      <c r="CQR24" s="84"/>
      <c r="CQS24" s="84"/>
      <c r="CQT24" s="84"/>
      <c r="CQU24" s="84"/>
      <c r="CQV24" s="84"/>
      <c r="CQW24" s="84"/>
      <c r="CQX24" s="84"/>
      <c r="CQY24" s="84"/>
      <c r="CQZ24" s="84"/>
      <c r="CRA24" s="84"/>
      <c r="CRB24" s="84"/>
      <c r="CRC24" s="84"/>
      <c r="CRD24" s="84"/>
      <c r="CRE24" s="84"/>
      <c r="CRF24" s="84"/>
      <c r="CRG24" s="84"/>
      <c r="CRH24" s="84"/>
      <c r="CRI24" s="84"/>
      <c r="CRJ24" s="84"/>
      <c r="CRK24" s="84"/>
      <c r="CRL24" s="84"/>
      <c r="CRM24" s="84"/>
      <c r="CRN24" s="84"/>
      <c r="CRO24" s="84"/>
      <c r="CRP24" s="84"/>
      <c r="CRQ24" s="84"/>
      <c r="CRR24" s="84"/>
      <c r="CRS24" s="84"/>
      <c r="CRT24" s="84"/>
      <c r="CRU24" s="84"/>
      <c r="CRV24" s="84"/>
      <c r="CRW24" s="84"/>
      <c r="CRX24" s="84"/>
      <c r="CRY24" s="84"/>
      <c r="CRZ24" s="84"/>
      <c r="CSA24" s="84"/>
      <c r="CSB24" s="84"/>
      <c r="CSC24" s="84"/>
      <c r="CSD24" s="84"/>
      <c r="CSE24" s="84"/>
      <c r="CSF24" s="84"/>
      <c r="CSG24" s="84"/>
      <c r="CSH24" s="84"/>
      <c r="CSI24" s="84"/>
      <c r="CSJ24" s="84"/>
      <c r="CSK24" s="84"/>
      <c r="CSL24" s="84"/>
      <c r="CSM24" s="84"/>
      <c r="CSN24" s="84"/>
      <c r="CSO24" s="84"/>
      <c r="CSP24" s="84"/>
      <c r="CSQ24" s="84"/>
      <c r="CSR24" s="84"/>
      <c r="CSS24" s="84"/>
      <c r="CST24" s="84"/>
      <c r="CSU24" s="84"/>
      <c r="CSV24" s="84"/>
      <c r="CSW24" s="84"/>
      <c r="CSX24" s="84"/>
      <c r="CSY24" s="84"/>
      <c r="CSZ24" s="84"/>
      <c r="CTA24" s="84"/>
      <c r="CTB24" s="84"/>
      <c r="CTC24" s="84"/>
      <c r="CTD24" s="84"/>
      <c r="CTE24" s="84"/>
      <c r="CTF24" s="84"/>
      <c r="CTG24" s="84"/>
      <c r="CTH24" s="84"/>
      <c r="CTI24" s="84"/>
      <c r="CTJ24" s="84"/>
      <c r="CTK24" s="84"/>
      <c r="CTL24" s="84"/>
      <c r="CTM24" s="84"/>
      <c r="CTN24" s="84"/>
      <c r="CTO24" s="84"/>
      <c r="CTP24" s="84"/>
      <c r="CTQ24" s="84"/>
      <c r="CTR24" s="84"/>
      <c r="CTS24" s="84"/>
      <c r="CTT24" s="84"/>
      <c r="CTU24" s="84"/>
      <c r="CTV24" s="84"/>
      <c r="CTW24" s="84"/>
      <c r="CTX24" s="84"/>
      <c r="CTY24" s="84"/>
      <c r="CTZ24" s="84"/>
      <c r="CUA24" s="84"/>
      <c r="CUB24" s="84"/>
      <c r="CUC24" s="84"/>
      <c r="CUD24" s="84"/>
      <c r="CUE24" s="84"/>
      <c r="CUF24" s="84"/>
      <c r="CUG24" s="84"/>
      <c r="CUH24" s="84"/>
      <c r="CUI24" s="84"/>
      <c r="CUJ24" s="84"/>
      <c r="CUK24" s="84"/>
      <c r="CUL24" s="84"/>
      <c r="CUM24" s="84"/>
      <c r="CUN24" s="84"/>
      <c r="CUO24" s="84"/>
      <c r="CUP24" s="84"/>
      <c r="CUQ24" s="84"/>
      <c r="CUR24" s="84"/>
      <c r="CUS24" s="84"/>
      <c r="CUT24" s="84"/>
      <c r="CUU24" s="84"/>
      <c r="CUV24" s="84"/>
      <c r="CUW24" s="84"/>
      <c r="CUX24" s="84"/>
      <c r="CUY24" s="84"/>
      <c r="CUZ24" s="84"/>
      <c r="CVA24" s="84"/>
      <c r="CVB24" s="84"/>
      <c r="CVC24" s="84"/>
      <c r="CVD24" s="84"/>
      <c r="CVE24" s="84"/>
      <c r="CVF24" s="84"/>
      <c r="CVG24" s="84"/>
      <c r="CVH24" s="84"/>
      <c r="CVI24" s="84"/>
      <c r="CVJ24" s="84"/>
      <c r="CVK24" s="84"/>
      <c r="CVL24" s="84"/>
      <c r="CVM24" s="84"/>
      <c r="CVN24" s="84"/>
      <c r="CVO24" s="84"/>
      <c r="CVP24" s="84"/>
      <c r="CVQ24" s="84"/>
      <c r="CVR24" s="84"/>
      <c r="CVS24" s="84"/>
      <c r="CVT24" s="84"/>
      <c r="CVU24" s="84"/>
      <c r="CVV24" s="84"/>
      <c r="CVW24" s="84"/>
      <c r="CVX24" s="84"/>
      <c r="CVY24" s="84"/>
      <c r="CVZ24" s="84"/>
      <c r="CWA24" s="84"/>
      <c r="CWB24" s="84"/>
      <c r="CWC24" s="84"/>
      <c r="CWD24" s="84"/>
      <c r="CWE24" s="84"/>
      <c r="CWF24" s="84"/>
      <c r="CWG24" s="84"/>
      <c r="CWH24" s="84"/>
      <c r="CWI24" s="84"/>
      <c r="CWJ24" s="84"/>
      <c r="CWK24" s="84"/>
      <c r="CWL24" s="84"/>
      <c r="CWM24" s="84"/>
      <c r="CWN24" s="84"/>
      <c r="CWO24" s="84"/>
      <c r="CWP24" s="84"/>
      <c r="CWQ24" s="84"/>
      <c r="CWR24" s="84"/>
      <c r="CWS24" s="84"/>
      <c r="CWT24" s="84"/>
      <c r="CWU24" s="84"/>
      <c r="CWV24" s="84"/>
      <c r="CWW24" s="84"/>
      <c r="CWX24" s="84"/>
      <c r="CWY24" s="84"/>
      <c r="CWZ24" s="84"/>
      <c r="CXA24" s="84"/>
      <c r="CXB24" s="84"/>
      <c r="CXC24" s="84"/>
      <c r="CXD24" s="84"/>
      <c r="CXE24" s="84"/>
      <c r="CXF24" s="84"/>
      <c r="CXG24" s="84"/>
      <c r="CXH24" s="84"/>
      <c r="CXI24" s="84"/>
      <c r="CXJ24" s="84"/>
      <c r="CXK24" s="84"/>
      <c r="CXL24" s="84"/>
      <c r="CXM24" s="84"/>
      <c r="CXN24" s="84"/>
      <c r="CXO24" s="84"/>
      <c r="CXP24" s="84"/>
      <c r="CXQ24" s="84"/>
      <c r="CXR24" s="84"/>
      <c r="CXS24" s="84"/>
      <c r="CXT24" s="84"/>
      <c r="CXU24" s="84"/>
      <c r="CXV24" s="84"/>
      <c r="CXW24" s="84"/>
      <c r="CXX24" s="84"/>
      <c r="CXY24" s="84"/>
      <c r="CXZ24" s="84"/>
      <c r="CYA24" s="84"/>
      <c r="CYB24" s="84"/>
      <c r="CYC24" s="84"/>
      <c r="CYD24" s="84"/>
      <c r="CYE24" s="84"/>
      <c r="CYF24" s="84"/>
      <c r="CYG24" s="84"/>
      <c r="CYH24" s="84"/>
      <c r="CYI24" s="84"/>
      <c r="CYJ24" s="84"/>
      <c r="CYK24" s="84"/>
      <c r="CYL24" s="84"/>
      <c r="CYM24" s="84"/>
      <c r="CYN24" s="84"/>
      <c r="CYO24" s="84"/>
      <c r="CYP24" s="84"/>
      <c r="CYQ24" s="84"/>
      <c r="CYR24" s="84"/>
      <c r="CYS24" s="84"/>
      <c r="CYT24" s="84"/>
      <c r="CYU24" s="84"/>
      <c r="CYV24" s="84"/>
      <c r="CYW24" s="84"/>
      <c r="CYX24" s="84"/>
      <c r="CYY24" s="84"/>
      <c r="CYZ24" s="84"/>
      <c r="CZA24" s="84"/>
      <c r="CZB24" s="84"/>
      <c r="CZC24" s="84"/>
      <c r="CZD24" s="84"/>
      <c r="CZE24" s="84"/>
      <c r="CZF24" s="84"/>
      <c r="CZG24" s="84"/>
      <c r="CZH24" s="84"/>
      <c r="CZI24" s="84"/>
      <c r="CZJ24" s="84"/>
      <c r="CZK24" s="84"/>
      <c r="CZL24" s="84"/>
      <c r="CZM24" s="84"/>
      <c r="CZN24" s="84"/>
      <c r="CZO24" s="84"/>
      <c r="CZP24" s="84"/>
      <c r="CZQ24" s="84"/>
      <c r="CZR24" s="84"/>
      <c r="CZS24" s="84"/>
      <c r="CZT24" s="84"/>
      <c r="CZU24" s="84"/>
      <c r="CZV24" s="84"/>
      <c r="CZW24" s="84"/>
      <c r="CZX24" s="84"/>
      <c r="CZY24" s="84"/>
      <c r="CZZ24" s="84"/>
      <c r="DAA24" s="84"/>
      <c r="DAB24" s="84"/>
      <c r="DAC24" s="84"/>
      <c r="DAD24" s="84"/>
      <c r="DAE24" s="84"/>
      <c r="DAF24" s="84"/>
      <c r="DAG24" s="84"/>
      <c r="DAH24" s="84"/>
      <c r="DAI24" s="84"/>
      <c r="DAJ24" s="84"/>
      <c r="DAK24" s="84"/>
      <c r="DAL24" s="84"/>
      <c r="DAM24" s="84"/>
      <c r="DAN24" s="84"/>
      <c r="DAO24" s="84"/>
      <c r="DAP24" s="84"/>
      <c r="DAQ24" s="84"/>
      <c r="DAR24" s="84"/>
      <c r="DAS24" s="84"/>
      <c r="DAT24" s="84"/>
      <c r="DAU24" s="84"/>
      <c r="DAV24" s="84"/>
      <c r="DAW24" s="84"/>
      <c r="DAX24" s="84"/>
      <c r="DAY24" s="84"/>
      <c r="DAZ24" s="84"/>
      <c r="DBA24" s="84"/>
      <c r="DBB24" s="84"/>
      <c r="DBC24" s="84"/>
      <c r="DBD24" s="84"/>
      <c r="DBE24" s="84"/>
      <c r="DBF24" s="84"/>
      <c r="DBG24" s="84"/>
      <c r="DBH24" s="84"/>
      <c r="DBI24" s="84"/>
      <c r="DBJ24" s="84"/>
      <c r="DBK24" s="84"/>
      <c r="DBL24" s="84"/>
      <c r="DBM24" s="84"/>
      <c r="DBN24" s="84"/>
      <c r="DBO24" s="84"/>
      <c r="DBP24" s="84"/>
      <c r="DBQ24" s="84"/>
      <c r="DBR24" s="84"/>
      <c r="DBS24" s="84"/>
      <c r="DBT24" s="84"/>
      <c r="DBU24" s="84"/>
      <c r="DBV24" s="84"/>
      <c r="DBW24" s="84"/>
      <c r="DBX24" s="84"/>
      <c r="DBY24" s="84"/>
      <c r="DBZ24" s="84"/>
      <c r="DCA24" s="84"/>
      <c r="DCB24" s="84"/>
      <c r="DCC24" s="84"/>
      <c r="DCD24" s="84"/>
      <c r="DCE24" s="84"/>
      <c r="DCF24" s="84"/>
      <c r="DCG24" s="84"/>
      <c r="DCH24" s="84"/>
      <c r="DCI24" s="84"/>
      <c r="DCJ24" s="84"/>
      <c r="DCK24" s="84"/>
      <c r="DCL24" s="84"/>
      <c r="DCM24" s="84"/>
      <c r="DCN24" s="84"/>
      <c r="DCO24" s="84"/>
      <c r="DCP24" s="84"/>
      <c r="DCQ24" s="84"/>
      <c r="DCR24" s="84"/>
      <c r="DCS24" s="84"/>
      <c r="DCT24" s="84"/>
      <c r="DCU24" s="84"/>
      <c r="DCV24" s="84"/>
      <c r="DCW24" s="84"/>
      <c r="DCX24" s="84"/>
      <c r="DCY24" s="84"/>
      <c r="DCZ24" s="84"/>
      <c r="DDA24" s="84"/>
      <c r="DDB24" s="84"/>
      <c r="DDC24" s="84"/>
      <c r="DDD24" s="84"/>
      <c r="DDE24" s="84"/>
      <c r="DDF24" s="84"/>
      <c r="DDG24" s="84"/>
      <c r="DDH24" s="84"/>
      <c r="DDI24" s="84"/>
      <c r="DDJ24" s="84"/>
      <c r="DDK24" s="84"/>
      <c r="DDL24" s="84"/>
      <c r="DDM24" s="84"/>
      <c r="DDN24" s="84"/>
      <c r="DDO24" s="84"/>
      <c r="DDP24" s="84"/>
      <c r="DDQ24" s="84"/>
      <c r="DDR24" s="84"/>
      <c r="DDS24" s="84"/>
      <c r="DDT24" s="84"/>
      <c r="DDU24" s="84"/>
      <c r="DDV24" s="84"/>
      <c r="DDW24" s="84"/>
      <c r="DDX24" s="84"/>
      <c r="DDY24" s="84"/>
      <c r="DDZ24" s="84"/>
      <c r="DEA24" s="84"/>
      <c r="DEB24" s="84"/>
      <c r="DEC24" s="84"/>
      <c r="DED24" s="84"/>
      <c r="DEE24" s="84"/>
      <c r="DEF24" s="84"/>
      <c r="DEG24" s="84"/>
      <c r="DEH24" s="84"/>
      <c r="DEI24" s="84"/>
      <c r="DEJ24" s="84"/>
      <c r="DEK24" s="84"/>
      <c r="DEL24" s="84"/>
      <c r="DEM24" s="84"/>
      <c r="DEN24" s="84"/>
      <c r="DEO24" s="84"/>
      <c r="DEP24" s="84"/>
      <c r="DEQ24" s="84"/>
      <c r="DER24" s="84"/>
      <c r="DES24" s="84"/>
      <c r="DET24" s="84"/>
      <c r="DEU24" s="84"/>
      <c r="DEV24" s="84"/>
      <c r="DEW24" s="84"/>
      <c r="DEX24" s="84"/>
      <c r="DEY24" s="84"/>
      <c r="DEZ24" s="84"/>
      <c r="DFA24" s="84"/>
      <c r="DFB24" s="84"/>
      <c r="DFC24" s="84"/>
      <c r="DFD24" s="84"/>
      <c r="DFE24" s="84"/>
      <c r="DFF24" s="84"/>
      <c r="DFG24" s="84"/>
      <c r="DFH24" s="84"/>
      <c r="DFI24" s="84"/>
      <c r="DFJ24" s="84"/>
      <c r="DFK24" s="84"/>
      <c r="DFL24" s="84"/>
      <c r="DFM24" s="84"/>
      <c r="DFN24" s="84"/>
      <c r="DFO24" s="84"/>
      <c r="DFP24" s="84"/>
      <c r="DFQ24" s="84"/>
      <c r="DFR24" s="84"/>
      <c r="DFS24" s="84"/>
      <c r="DFT24" s="84"/>
      <c r="DFU24" s="84"/>
      <c r="DFV24" s="84"/>
      <c r="DFW24" s="84"/>
      <c r="DFX24" s="84"/>
      <c r="DFY24" s="84"/>
      <c r="DFZ24" s="84"/>
      <c r="DGA24" s="84"/>
      <c r="DGB24" s="84"/>
      <c r="DGC24" s="84"/>
      <c r="DGD24" s="84"/>
      <c r="DGE24" s="84"/>
      <c r="DGF24" s="84"/>
      <c r="DGG24" s="84"/>
      <c r="DGH24" s="84"/>
      <c r="DGI24" s="84"/>
      <c r="DGJ24" s="84"/>
      <c r="DGK24" s="84"/>
      <c r="DGL24" s="84"/>
      <c r="DGM24" s="84"/>
      <c r="DGN24" s="84"/>
      <c r="DGO24" s="84"/>
      <c r="DGP24" s="84"/>
      <c r="DGQ24" s="84"/>
      <c r="DGR24" s="84"/>
      <c r="DGS24" s="84"/>
      <c r="DGT24" s="84"/>
      <c r="DGU24" s="84"/>
      <c r="DGV24" s="84"/>
      <c r="DGW24" s="84"/>
      <c r="DGX24" s="84"/>
      <c r="DGY24" s="84"/>
      <c r="DGZ24" s="84"/>
      <c r="DHA24" s="84"/>
      <c r="DHB24" s="84"/>
      <c r="DHC24" s="84"/>
      <c r="DHD24" s="84"/>
      <c r="DHE24" s="84"/>
      <c r="DHF24" s="84"/>
      <c r="DHG24" s="84"/>
      <c r="DHH24" s="84"/>
      <c r="DHI24" s="84"/>
      <c r="DHJ24" s="84"/>
      <c r="DHK24" s="84"/>
      <c r="DHL24" s="84"/>
      <c r="DHM24" s="84"/>
      <c r="DHN24" s="84"/>
      <c r="DHO24" s="84"/>
      <c r="DHP24" s="84"/>
      <c r="DHQ24" s="84"/>
      <c r="DHR24" s="84"/>
      <c r="DHS24" s="84"/>
      <c r="DHT24" s="84"/>
      <c r="DHU24" s="84"/>
      <c r="DHV24" s="84"/>
      <c r="DHW24" s="84"/>
      <c r="DHX24" s="84"/>
      <c r="DHY24" s="84"/>
      <c r="DHZ24" s="84"/>
      <c r="DIA24" s="84"/>
      <c r="DIB24" s="84"/>
      <c r="DIC24" s="84"/>
      <c r="DID24" s="84"/>
      <c r="DIE24" s="84"/>
      <c r="DIF24" s="84"/>
      <c r="DIG24" s="84"/>
      <c r="DIH24" s="84"/>
      <c r="DII24" s="84"/>
      <c r="DIJ24" s="84"/>
      <c r="DIK24" s="84"/>
      <c r="DIL24" s="84"/>
      <c r="DIM24" s="84"/>
      <c r="DIN24" s="84"/>
      <c r="DIO24" s="84"/>
      <c r="DIP24" s="84"/>
      <c r="DIQ24" s="84"/>
      <c r="DIR24" s="84"/>
      <c r="DIS24" s="84"/>
      <c r="DIT24" s="84"/>
      <c r="DIU24" s="84"/>
      <c r="DIV24" s="84"/>
      <c r="DIW24" s="84"/>
      <c r="DIX24" s="84"/>
      <c r="DIY24" s="84"/>
      <c r="DIZ24" s="84"/>
      <c r="DJA24" s="84"/>
      <c r="DJB24" s="84"/>
      <c r="DJC24" s="84"/>
      <c r="DJD24" s="84"/>
      <c r="DJE24" s="84"/>
      <c r="DJF24" s="84"/>
      <c r="DJG24" s="84"/>
      <c r="DJH24" s="84"/>
      <c r="DJI24" s="84"/>
      <c r="DJJ24" s="84"/>
      <c r="DJK24" s="84"/>
      <c r="DJL24" s="84"/>
      <c r="DJM24" s="84"/>
      <c r="DJN24" s="84"/>
      <c r="DJO24" s="84"/>
      <c r="DJP24" s="84"/>
      <c r="DJQ24" s="84"/>
      <c r="DJR24" s="84"/>
      <c r="DJS24" s="84"/>
      <c r="DJT24" s="84"/>
      <c r="DJU24" s="84"/>
      <c r="DJV24" s="84"/>
      <c r="DJW24" s="84"/>
      <c r="DJX24" s="84"/>
      <c r="DJY24" s="84"/>
      <c r="DJZ24" s="84"/>
      <c r="DKA24" s="84"/>
      <c r="DKB24" s="84"/>
      <c r="DKC24" s="84"/>
      <c r="DKD24" s="84"/>
      <c r="DKE24" s="84"/>
      <c r="DKF24" s="84"/>
      <c r="DKG24" s="84"/>
      <c r="DKH24" s="84"/>
      <c r="DKI24" s="84"/>
      <c r="DKJ24" s="84"/>
      <c r="DKK24" s="84"/>
      <c r="DKL24" s="84"/>
      <c r="DKM24" s="84"/>
      <c r="DKN24" s="84"/>
      <c r="DKO24" s="84"/>
      <c r="DKP24" s="84"/>
      <c r="DKQ24" s="84"/>
      <c r="DKR24" s="84"/>
      <c r="DKS24" s="84"/>
      <c r="DKT24" s="84"/>
      <c r="DKU24" s="84"/>
      <c r="DKV24" s="84"/>
      <c r="DKW24" s="84"/>
      <c r="DKX24" s="84"/>
      <c r="DKY24" s="84"/>
      <c r="DKZ24" s="84"/>
      <c r="DLA24" s="84"/>
      <c r="DLB24" s="84"/>
      <c r="DLC24" s="84"/>
      <c r="DLD24" s="84"/>
      <c r="DLE24" s="84"/>
      <c r="DLF24" s="84"/>
      <c r="DLG24" s="84"/>
      <c r="DLH24" s="84"/>
      <c r="DLI24" s="84"/>
      <c r="DLJ24" s="84"/>
      <c r="DLK24" s="84"/>
      <c r="DLL24" s="84"/>
      <c r="DLM24" s="84"/>
      <c r="DLN24" s="84"/>
      <c r="DLO24" s="84"/>
      <c r="DLP24" s="84"/>
      <c r="DLQ24" s="84"/>
      <c r="DLR24" s="84"/>
      <c r="DLS24" s="84"/>
      <c r="DLT24" s="84"/>
      <c r="DLU24" s="84"/>
      <c r="DLV24" s="84"/>
      <c r="DLW24" s="84"/>
      <c r="DLX24" s="84"/>
      <c r="DLY24" s="84"/>
      <c r="DLZ24" s="84"/>
      <c r="DMA24" s="84"/>
      <c r="DMB24" s="84"/>
      <c r="DMC24" s="84"/>
      <c r="DMD24" s="84"/>
      <c r="DME24" s="84"/>
      <c r="DMF24" s="84"/>
      <c r="DMG24" s="84"/>
      <c r="DMH24" s="84"/>
      <c r="DMI24" s="84"/>
      <c r="DMJ24" s="84"/>
      <c r="DMK24" s="84"/>
      <c r="DML24" s="84"/>
      <c r="DMM24" s="84"/>
      <c r="DMN24" s="84"/>
      <c r="DMO24" s="84"/>
      <c r="DMP24" s="84"/>
      <c r="DMQ24" s="84"/>
      <c r="DMR24" s="84"/>
      <c r="DMS24" s="84"/>
      <c r="DMT24" s="84"/>
      <c r="DMU24" s="84"/>
      <c r="DMV24" s="84"/>
      <c r="DMW24" s="84"/>
      <c r="DMX24" s="84"/>
      <c r="DMY24" s="84"/>
      <c r="DMZ24" s="84"/>
      <c r="DNA24" s="84"/>
      <c r="DNB24" s="84"/>
      <c r="DNC24" s="84"/>
      <c r="DND24" s="84"/>
      <c r="DNE24" s="84"/>
      <c r="DNF24" s="84"/>
      <c r="DNG24" s="84"/>
      <c r="DNH24" s="84"/>
      <c r="DNI24" s="84"/>
      <c r="DNJ24" s="84"/>
      <c r="DNK24" s="84"/>
      <c r="DNL24" s="84"/>
      <c r="DNM24" s="84"/>
      <c r="DNN24" s="84"/>
      <c r="DNO24" s="84"/>
      <c r="DNP24" s="84"/>
      <c r="DNQ24" s="84"/>
      <c r="DNR24" s="84"/>
      <c r="DNS24" s="84"/>
      <c r="DNT24" s="84"/>
      <c r="DNU24" s="84"/>
      <c r="DNV24" s="84"/>
      <c r="DNW24" s="84"/>
      <c r="DNX24" s="84"/>
      <c r="DNY24" s="84"/>
      <c r="DNZ24" s="84"/>
      <c r="DOA24" s="84"/>
      <c r="DOB24" s="84"/>
      <c r="DOC24" s="84"/>
      <c r="DOD24" s="84"/>
      <c r="DOE24" s="84"/>
      <c r="DOF24" s="84"/>
      <c r="DOG24" s="84"/>
      <c r="DOH24" s="84"/>
      <c r="DOI24" s="84"/>
      <c r="DOJ24" s="84"/>
      <c r="DOK24" s="84"/>
      <c r="DOL24" s="84"/>
      <c r="DOM24" s="84"/>
      <c r="DON24" s="84"/>
      <c r="DOO24" s="84"/>
      <c r="DOP24" s="84"/>
      <c r="DOQ24" s="84"/>
      <c r="DOR24" s="84"/>
      <c r="DOS24" s="84"/>
      <c r="DOT24" s="84"/>
      <c r="DOU24" s="84"/>
      <c r="DOV24" s="84"/>
      <c r="DOW24" s="84"/>
      <c r="DOX24" s="84"/>
      <c r="DOY24" s="84"/>
      <c r="DOZ24" s="84"/>
      <c r="DPA24" s="84"/>
      <c r="DPB24" s="84"/>
      <c r="DPC24" s="84"/>
      <c r="DPD24" s="84"/>
      <c r="DPE24" s="84"/>
      <c r="DPF24" s="84"/>
      <c r="DPG24" s="84"/>
      <c r="DPH24" s="84"/>
      <c r="DPI24" s="84"/>
      <c r="DPJ24" s="84"/>
      <c r="DPK24" s="84"/>
      <c r="DPL24" s="84"/>
      <c r="DPM24" s="84"/>
      <c r="DPN24" s="84"/>
      <c r="DPO24" s="84"/>
      <c r="DPP24" s="84"/>
      <c r="DPQ24" s="84"/>
      <c r="DPR24" s="84"/>
      <c r="DPS24" s="84"/>
      <c r="DPT24" s="84"/>
      <c r="DPU24" s="84"/>
      <c r="DPV24" s="84"/>
      <c r="DPW24" s="84"/>
      <c r="DPX24" s="84"/>
      <c r="DPY24" s="84"/>
      <c r="DPZ24" s="84"/>
      <c r="DQA24" s="84"/>
      <c r="DQB24" s="84"/>
      <c r="DQC24" s="84"/>
      <c r="DQD24" s="84"/>
      <c r="DQE24" s="84"/>
      <c r="DQF24" s="84"/>
      <c r="DQG24" s="84"/>
      <c r="DQH24" s="84"/>
      <c r="DQI24" s="84"/>
      <c r="DQJ24" s="84"/>
      <c r="DQK24" s="84"/>
      <c r="DQL24" s="84"/>
      <c r="DQM24" s="84"/>
      <c r="DQN24" s="84"/>
      <c r="DQO24" s="84"/>
      <c r="DQP24" s="84"/>
      <c r="DQQ24" s="84"/>
      <c r="DQR24" s="84"/>
      <c r="DQS24" s="84"/>
      <c r="DQT24" s="84"/>
      <c r="DQU24" s="84"/>
      <c r="DQV24" s="84"/>
      <c r="DQW24" s="84"/>
      <c r="DQX24" s="84"/>
      <c r="DQY24" s="84"/>
      <c r="DQZ24" s="84"/>
      <c r="DRA24" s="84"/>
      <c r="DRB24" s="84"/>
      <c r="DRC24" s="84"/>
      <c r="DRD24" s="84"/>
      <c r="DRE24" s="84"/>
      <c r="DRF24" s="84"/>
      <c r="DRG24" s="84"/>
      <c r="DRH24" s="84"/>
      <c r="DRI24" s="84"/>
      <c r="DRJ24" s="84"/>
      <c r="DRK24" s="84"/>
      <c r="DRL24" s="84"/>
      <c r="DRM24" s="84"/>
      <c r="DRN24" s="84"/>
      <c r="DRO24" s="84"/>
      <c r="DRP24" s="84"/>
      <c r="DRQ24" s="84"/>
      <c r="DRR24" s="84"/>
      <c r="DRS24" s="84"/>
      <c r="DRT24" s="84"/>
      <c r="DRU24" s="84"/>
      <c r="DRV24" s="84"/>
      <c r="DRW24" s="84"/>
      <c r="DRX24" s="84"/>
      <c r="DRY24" s="84"/>
      <c r="DRZ24" s="84"/>
      <c r="DSA24" s="84"/>
      <c r="DSB24" s="84"/>
      <c r="DSC24" s="84"/>
      <c r="DSD24" s="84"/>
      <c r="DSE24" s="84"/>
      <c r="DSF24" s="84"/>
      <c r="DSG24" s="84"/>
      <c r="DSH24" s="84"/>
      <c r="DSI24" s="84"/>
      <c r="DSJ24" s="84"/>
      <c r="DSK24" s="84"/>
      <c r="DSL24" s="84"/>
      <c r="DSM24" s="84"/>
      <c r="DSN24" s="84"/>
      <c r="DSO24" s="84"/>
      <c r="DSP24" s="84"/>
      <c r="DSQ24" s="84"/>
      <c r="DSR24" s="84"/>
      <c r="DSS24" s="84"/>
      <c r="DST24" s="84"/>
      <c r="DSU24" s="84"/>
      <c r="DSV24" s="84"/>
      <c r="DSW24" s="84"/>
      <c r="DSX24" s="84"/>
      <c r="DSY24" s="84"/>
      <c r="DSZ24" s="84"/>
      <c r="DTA24" s="84"/>
      <c r="DTB24" s="84"/>
      <c r="DTC24" s="84"/>
      <c r="DTD24" s="84"/>
      <c r="DTE24" s="84"/>
      <c r="DTF24" s="84"/>
      <c r="DTG24" s="84"/>
      <c r="DTH24" s="84"/>
      <c r="DTI24" s="84"/>
      <c r="DTJ24" s="84"/>
      <c r="DTK24" s="84"/>
      <c r="DTL24" s="84"/>
      <c r="DTM24" s="84"/>
      <c r="DTN24" s="84"/>
      <c r="DTO24" s="84"/>
      <c r="DTP24" s="84"/>
      <c r="DTQ24" s="84"/>
      <c r="DTR24" s="84"/>
      <c r="DTS24" s="84"/>
      <c r="DTT24" s="84"/>
      <c r="DTU24" s="84"/>
      <c r="DTV24" s="84"/>
      <c r="DTW24" s="84"/>
      <c r="DTX24" s="84"/>
      <c r="DTY24" s="84"/>
      <c r="DTZ24" s="84"/>
      <c r="DUA24" s="84"/>
      <c r="DUB24" s="84"/>
      <c r="DUC24" s="84"/>
      <c r="DUD24" s="84"/>
      <c r="DUE24" s="84"/>
      <c r="DUF24" s="84"/>
      <c r="DUG24" s="84"/>
      <c r="DUH24" s="84"/>
      <c r="DUI24" s="84"/>
      <c r="DUJ24" s="84"/>
      <c r="DUK24" s="84"/>
      <c r="DUL24" s="84"/>
      <c r="DUM24" s="84"/>
      <c r="DUN24" s="84"/>
      <c r="DUO24" s="84"/>
      <c r="DUP24" s="84"/>
      <c r="DUQ24" s="84"/>
      <c r="DUR24" s="84"/>
      <c r="DUS24" s="84"/>
      <c r="DUT24" s="84"/>
      <c r="DUU24" s="84"/>
      <c r="DUV24" s="84"/>
      <c r="DUW24" s="84"/>
      <c r="DUX24" s="84"/>
      <c r="DUY24" s="84"/>
      <c r="DUZ24" s="84"/>
      <c r="DVA24" s="84"/>
      <c r="DVB24" s="84"/>
      <c r="DVC24" s="84"/>
      <c r="DVD24" s="84"/>
      <c r="DVE24" s="84"/>
      <c r="DVF24" s="84"/>
      <c r="DVG24" s="84"/>
      <c r="DVH24" s="84"/>
      <c r="DVI24" s="84"/>
      <c r="DVJ24" s="84"/>
      <c r="DVK24" s="84"/>
      <c r="DVL24" s="84"/>
      <c r="DVM24" s="84"/>
      <c r="DVN24" s="84"/>
      <c r="DVO24" s="84"/>
      <c r="DVP24" s="84"/>
      <c r="DVQ24" s="84"/>
      <c r="DVR24" s="84"/>
      <c r="DVS24" s="84"/>
      <c r="DVT24" s="84"/>
      <c r="DVU24" s="84"/>
      <c r="DVV24" s="84"/>
      <c r="DVW24" s="84"/>
      <c r="DVX24" s="84"/>
      <c r="DVY24" s="84"/>
      <c r="DVZ24" s="84"/>
      <c r="DWA24" s="84"/>
      <c r="DWB24" s="84"/>
      <c r="DWC24" s="84"/>
      <c r="DWD24" s="84"/>
      <c r="DWE24" s="84"/>
      <c r="DWF24" s="84"/>
      <c r="DWG24" s="84"/>
      <c r="DWH24" s="84"/>
      <c r="DWI24" s="84"/>
      <c r="DWJ24" s="84"/>
      <c r="DWK24" s="84"/>
      <c r="DWL24" s="84"/>
      <c r="DWM24" s="84"/>
      <c r="DWN24" s="84"/>
      <c r="DWO24" s="84"/>
      <c r="DWP24" s="84"/>
      <c r="DWQ24" s="84"/>
      <c r="DWR24" s="84"/>
      <c r="DWS24" s="84"/>
      <c r="DWT24" s="84"/>
      <c r="DWU24" s="84"/>
      <c r="DWV24" s="84"/>
      <c r="DWW24" s="84"/>
      <c r="DWX24" s="84"/>
      <c r="DWY24" s="84"/>
      <c r="DWZ24" s="84"/>
      <c r="DXA24" s="84"/>
      <c r="DXB24" s="84"/>
      <c r="DXC24" s="84"/>
      <c r="DXD24" s="84"/>
      <c r="DXE24" s="84"/>
      <c r="DXF24" s="84"/>
      <c r="DXG24" s="84"/>
      <c r="DXH24" s="84"/>
      <c r="DXI24" s="84"/>
      <c r="DXJ24" s="84"/>
      <c r="DXK24" s="84"/>
      <c r="DXL24" s="84"/>
      <c r="DXM24" s="84"/>
      <c r="DXN24" s="84"/>
      <c r="DXO24" s="84"/>
      <c r="DXP24" s="84"/>
      <c r="DXQ24" s="84"/>
      <c r="DXR24" s="84"/>
      <c r="DXS24" s="84"/>
      <c r="DXT24" s="84"/>
      <c r="DXU24" s="84"/>
      <c r="DXV24" s="84"/>
      <c r="DXW24" s="84"/>
      <c r="DXX24" s="84"/>
      <c r="DXY24" s="84"/>
      <c r="DXZ24" s="84"/>
      <c r="DYA24" s="84"/>
      <c r="DYB24" s="84"/>
      <c r="DYC24" s="84"/>
      <c r="DYD24" s="84"/>
      <c r="DYE24" s="84"/>
      <c r="DYF24" s="84"/>
      <c r="DYG24" s="84"/>
      <c r="DYH24" s="84"/>
      <c r="DYI24" s="84"/>
      <c r="DYJ24" s="84"/>
      <c r="DYK24" s="84"/>
      <c r="DYL24" s="84"/>
      <c r="DYM24" s="84"/>
      <c r="DYN24" s="84"/>
      <c r="DYO24" s="84"/>
      <c r="DYP24" s="84"/>
      <c r="DYQ24" s="84"/>
      <c r="DYR24" s="84"/>
      <c r="DYS24" s="84"/>
      <c r="DYT24" s="84"/>
      <c r="DYU24" s="84"/>
      <c r="DYV24" s="84"/>
      <c r="DYW24" s="84"/>
      <c r="DYX24" s="84"/>
      <c r="DYY24" s="84"/>
      <c r="DYZ24" s="84"/>
      <c r="DZA24" s="84"/>
      <c r="DZB24" s="84"/>
      <c r="DZC24" s="84"/>
      <c r="DZD24" s="84"/>
      <c r="DZE24" s="84"/>
      <c r="DZF24" s="84"/>
      <c r="DZG24" s="84"/>
      <c r="DZH24" s="84"/>
      <c r="DZI24" s="84"/>
      <c r="DZJ24" s="84"/>
      <c r="DZK24" s="84"/>
      <c r="DZL24" s="84"/>
      <c r="DZM24" s="84"/>
      <c r="DZN24" s="84"/>
      <c r="DZO24" s="84"/>
      <c r="DZP24" s="84"/>
      <c r="DZQ24" s="84"/>
      <c r="DZR24" s="84"/>
      <c r="DZS24" s="84"/>
      <c r="DZT24" s="84"/>
      <c r="DZU24" s="84"/>
      <c r="DZV24" s="84"/>
      <c r="DZW24" s="84"/>
      <c r="DZX24" s="84"/>
      <c r="DZY24" s="84"/>
      <c r="DZZ24" s="84"/>
      <c r="EAA24" s="84"/>
      <c r="EAB24" s="84"/>
      <c r="EAC24" s="84"/>
      <c r="EAD24" s="84"/>
      <c r="EAE24" s="84"/>
      <c r="EAF24" s="84"/>
      <c r="EAG24" s="84"/>
      <c r="EAH24" s="84"/>
      <c r="EAI24" s="84"/>
      <c r="EAJ24" s="84"/>
      <c r="EAK24" s="84"/>
      <c r="EAL24" s="84"/>
      <c r="EAM24" s="84"/>
      <c r="EAN24" s="84"/>
      <c r="EAO24" s="84"/>
      <c r="EAP24" s="84"/>
      <c r="EAQ24" s="84"/>
      <c r="EAR24" s="84"/>
      <c r="EAS24" s="84"/>
      <c r="EAT24" s="84"/>
      <c r="EAU24" s="84"/>
      <c r="EAV24" s="84"/>
      <c r="EAW24" s="84"/>
      <c r="EAX24" s="84"/>
      <c r="EAY24" s="84"/>
      <c r="EAZ24" s="84"/>
      <c r="EBA24" s="84"/>
      <c r="EBB24" s="84"/>
      <c r="EBC24" s="84"/>
      <c r="EBD24" s="84"/>
      <c r="EBE24" s="84"/>
      <c r="EBF24" s="84"/>
      <c r="EBG24" s="84"/>
      <c r="EBH24" s="84"/>
      <c r="EBI24" s="84"/>
      <c r="EBJ24" s="84"/>
      <c r="EBK24" s="84"/>
      <c r="EBL24" s="84"/>
      <c r="EBM24" s="84"/>
      <c r="EBN24" s="84"/>
      <c r="EBO24" s="84"/>
      <c r="EBP24" s="84"/>
      <c r="EBQ24" s="84"/>
      <c r="EBR24" s="84"/>
      <c r="EBS24" s="84"/>
      <c r="EBT24" s="84"/>
      <c r="EBU24" s="84"/>
      <c r="EBV24" s="84"/>
      <c r="EBW24" s="84"/>
      <c r="EBX24" s="84"/>
      <c r="EBY24" s="84"/>
      <c r="EBZ24" s="84"/>
      <c r="ECA24" s="84"/>
      <c r="ECB24" s="84"/>
      <c r="ECC24" s="84"/>
      <c r="ECD24" s="84"/>
      <c r="ECE24" s="84"/>
      <c r="ECF24" s="84"/>
      <c r="ECG24" s="84"/>
      <c r="ECH24" s="84"/>
      <c r="ECI24" s="84"/>
      <c r="ECJ24" s="84"/>
      <c r="ECK24" s="84"/>
      <c r="ECL24" s="84"/>
      <c r="ECM24" s="84"/>
      <c r="ECN24" s="84"/>
      <c r="ECO24" s="84"/>
      <c r="ECP24" s="84"/>
      <c r="ECQ24" s="84"/>
      <c r="ECR24" s="84"/>
      <c r="ECS24" s="84"/>
      <c r="ECT24" s="84"/>
      <c r="ECU24" s="84"/>
      <c r="ECV24" s="84"/>
      <c r="ECW24" s="84"/>
      <c r="ECX24" s="84"/>
      <c r="ECY24" s="84"/>
      <c r="ECZ24" s="84"/>
      <c r="EDA24" s="84"/>
      <c r="EDB24" s="84"/>
      <c r="EDC24" s="84"/>
      <c r="EDD24" s="84"/>
      <c r="EDE24" s="84"/>
      <c r="EDF24" s="84"/>
      <c r="EDG24" s="84"/>
      <c r="EDH24" s="84"/>
      <c r="EDI24" s="84"/>
      <c r="EDJ24" s="84"/>
      <c r="EDK24" s="84"/>
      <c r="EDL24" s="84"/>
      <c r="EDM24" s="84"/>
      <c r="EDN24" s="84"/>
      <c r="EDO24" s="84"/>
      <c r="EDP24" s="84"/>
      <c r="EDQ24" s="84"/>
      <c r="EDR24" s="84"/>
      <c r="EDS24" s="84"/>
      <c r="EDT24" s="84"/>
      <c r="EDU24" s="84"/>
      <c r="EDV24" s="84"/>
      <c r="EDW24" s="84"/>
      <c r="EDX24" s="84"/>
      <c r="EDY24" s="84"/>
      <c r="EDZ24" s="84"/>
      <c r="EEA24" s="84"/>
      <c r="EEB24" s="84"/>
      <c r="EEC24" s="84"/>
      <c r="EED24" s="84"/>
      <c r="EEE24" s="84"/>
      <c r="EEF24" s="84"/>
      <c r="EEG24" s="84"/>
      <c r="EEH24" s="84"/>
      <c r="EEI24" s="84"/>
      <c r="EEJ24" s="84"/>
      <c r="EEK24" s="84"/>
      <c r="EEL24" s="84"/>
      <c r="EEM24" s="84"/>
      <c r="EEN24" s="84"/>
      <c r="EEO24" s="84"/>
      <c r="EEP24" s="84"/>
      <c r="EEQ24" s="84"/>
      <c r="EER24" s="84"/>
      <c r="EES24" s="84"/>
      <c r="EET24" s="84"/>
      <c r="EEU24" s="84"/>
      <c r="EEV24" s="84"/>
      <c r="EEW24" s="84"/>
      <c r="EEX24" s="84"/>
      <c r="EEY24" s="84"/>
      <c r="EEZ24" s="84"/>
      <c r="EFA24" s="84"/>
      <c r="EFB24" s="84"/>
      <c r="EFC24" s="84"/>
      <c r="EFD24" s="84"/>
      <c r="EFE24" s="84"/>
      <c r="EFF24" s="84"/>
      <c r="EFG24" s="84"/>
      <c r="EFH24" s="84"/>
      <c r="EFI24" s="84"/>
      <c r="EFJ24" s="84"/>
      <c r="EFK24" s="84"/>
      <c r="EFL24" s="84"/>
      <c r="EFM24" s="84"/>
      <c r="EFN24" s="84"/>
      <c r="EFO24" s="84"/>
      <c r="EFP24" s="84"/>
      <c r="EFQ24" s="84"/>
      <c r="EFR24" s="84"/>
      <c r="EFS24" s="84"/>
      <c r="EFT24" s="84"/>
      <c r="EFU24" s="84"/>
      <c r="EFV24" s="84"/>
      <c r="EFW24" s="84"/>
      <c r="EFX24" s="84"/>
      <c r="EFY24" s="84"/>
      <c r="EFZ24" s="84"/>
      <c r="EGA24" s="84"/>
      <c r="EGB24" s="84"/>
      <c r="EGC24" s="84"/>
      <c r="EGD24" s="84"/>
      <c r="EGE24" s="84"/>
      <c r="EGF24" s="84"/>
      <c r="EGG24" s="84"/>
      <c r="EGH24" s="84"/>
      <c r="EGI24" s="84"/>
      <c r="EGJ24" s="84"/>
      <c r="EGK24" s="84"/>
      <c r="EGL24" s="84"/>
      <c r="EGM24" s="84"/>
      <c r="EGN24" s="84"/>
      <c r="EGO24" s="84"/>
      <c r="EGP24" s="84"/>
      <c r="EGQ24" s="84"/>
      <c r="EGR24" s="84"/>
      <c r="EGS24" s="84"/>
      <c r="EGT24" s="84"/>
      <c r="EGU24" s="84"/>
      <c r="EGV24" s="84"/>
      <c r="EGW24" s="84"/>
      <c r="EGX24" s="84"/>
      <c r="EGY24" s="84"/>
      <c r="EGZ24" s="84"/>
      <c r="EHA24" s="84"/>
      <c r="EHB24" s="84"/>
      <c r="EHC24" s="84"/>
      <c r="EHD24" s="84"/>
      <c r="EHE24" s="84"/>
      <c r="EHF24" s="84"/>
      <c r="EHG24" s="84"/>
      <c r="EHH24" s="84"/>
      <c r="EHI24" s="84"/>
      <c r="EHJ24" s="84"/>
      <c r="EHK24" s="84"/>
      <c r="EHL24" s="84"/>
      <c r="EHM24" s="84"/>
      <c r="EHN24" s="84"/>
      <c r="EHO24" s="84"/>
      <c r="EHP24" s="84"/>
      <c r="EHQ24" s="84"/>
      <c r="EHR24" s="84"/>
      <c r="EHS24" s="84"/>
      <c r="EHT24" s="84"/>
      <c r="EHU24" s="84"/>
      <c r="EHV24" s="84"/>
      <c r="EHW24" s="84"/>
      <c r="EHX24" s="84"/>
      <c r="EHY24" s="84"/>
      <c r="EHZ24" s="84"/>
      <c r="EIA24" s="84"/>
      <c r="EIB24" s="84"/>
      <c r="EIC24" s="84"/>
      <c r="EID24" s="84"/>
      <c r="EIE24" s="84"/>
      <c r="EIF24" s="84"/>
      <c r="EIG24" s="84"/>
      <c r="EIH24" s="84"/>
      <c r="EII24" s="84"/>
      <c r="EIJ24" s="84"/>
      <c r="EIK24" s="84"/>
      <c r="EIL24" s="84"/>
      <c r="EIM24" s="84"/>
      <c r="EIN24" s="84"/>
      <c r="EIO24" s="84"/>
      <c r="EIP24" s="84"/>
      <c r="EIQ24" s="84"/>
      <c r="EIR24" s="84"/>
      <c r="EIS24" s="84"/>
      <c r="EIT24" s="84"/>
      <c r="EIU24" s="84"/>
      <c r="EIV24" s="84"/>
      <c r="EIW24" s="84"/>
      <c r="EIX24" s="84"/>
      <c r="EIY24" s="84"/>
      <c r="EIZ24" s="84"/>
      <c r="EJA24" s="84"/>
      <c r="EJB24" s="84"/>
      <c r="EJC24" s="84"/>
      <c r="EJD24" s="84"/>
      <c r="EJE24" s="84"/>
      <c r="EJF24" s="84"/>
      <c r="EJG24" s="84"/>
      <c r="EJH24" s="84"/>
      <c r="EJI24" s="84"/>
      <c r="EJJ24" s="84"/>
      <c r="EJK24" s="84"/>
      <c r="EJL24" s="84"/>
      <c r="EJM24" s="84"/>
      <c r="EJN24" s="84"/>
      <c r="EJO24" s="84"/>
      <c r="EJP24" s="84"/>
      <c r="EJQ24" s="84"/>
      <c r="EJR24" s="84"/>
      <c r="EJS24" s="84"/>
      <c r="EJT24" s="84"/>
      <c r="EJU24" s="84"/>
      <c r="EJV24" s="84"/>
      <c r="EJW24" s="84"/>
      <c r="EJX24" s="84"/>
      <c r="EJY24" s="84"/>
      <c r="EJZ24" s="84"/>
      <c r="EKA24" s="84"/>
      <c r="EKB24" s="84"/>
      <c r="EKC24" s="84"/>
      <c r="EKD24" s="84"/>
      <c r="EKE24" s="84"/>
      <c r="EKF24" s="84"/>
      <c r="EKG24" s="84"/>
      <c r="EKH24" s="84"/>
      <c r="EKI24" s="84"/>
      <c r="EKJ24" s="84"/>
      <c r="EKK24" s="84"/>
      <c r="EKL24" s="84"/>
      <c r="EKM24" s="84"/>
      <c r="EKN24" s="84"/>
      <c r="EKO24" s="84"/>
      <c r="EKP24" s="84"/>
      <c r="EKQ24" s="84"/>
      <c r="EKR24" s="84"/>
      <c r="EKS24" s="84"/>
      <c r="EKT24" s="84"/>
      <c r="EKU24" s="84"/>
      <c r="EKV24" s="84"/>
      <c r="EKW24" s="84"/>
      <c r="EKX24" s="84"/>
      <c r="EKY24" s="84"/>
      <c r="EKZ24" s="84"/>
      <c r="ELA24" s="84"/>
      <c r="ELB24" s="84"/>
      <c r="ELC24" s="84"/>
      <c r="ELD24" s="84"/>
      <c r="ELE24" s="84"/>
      <c r="ELF24" s="84"/>
      <c r="ELG24" s="84"/>
      <c r="ELH24" s="84"/>
      <c r="ELI24" s="84"/>
      <c r="ELJ24" s="84"/>
      <c r="ELK24" s="84"/>
      <c r="ELL24" s="84"/>
      <c r="ELM24" s="84"/>
      <c r="ELN24" s="84"/>
      <c r="ELO24" s="84"/>
      <c r="ELP24" s="84"/>
      <c r="ELQ24" s="84"/>
      <c r="ELR24" s="84"/>
      <c r="ELS24" s="84"/>
      <c r="ELT24" s="84"/>
      <c r="ELU24" s="84"/>
      <c r="ELV24" s="84"/>
      <c r="ELW24" s="84"/>
      <c r="ELX24" s="84"/>
      <c r="ELY24" s="84"/>
      <c r="ELZ24" s="84"/>
      <c r="EMA24" s="84"/>
      <c r="EMB24" s="84"/>
      <c r="EMC24" s="84"/>
      <c r="EMD24" s="84"/>
      <c r="EME24" s="84"/>
      <c r="EMF24" s="84"/>
      <c r="EMG24" s="84"/>
      <c r="EMH24" s="84"/>
      <c r="EMI24" s="84"/>
      <c r="EMJ24" s="84"/>
      <c r="EMK24" s="84"/>
      <c r="EML24" s="84"/>
      <c r="EMM24" s="84"/>
      <c r="EMN24" s="84"/>
      <c r="EMO24" s="84"/>
      <c r="EMP24" s="84"/>
      <c r="EMQ24" s="84"/>
      <c r="EMR24" s="84"/>
      <c r="EMS24" s="84"/>
      <c r="EMT24" s="84"/>
      <c r="EMU24" s="84"/>
      <c r="EMV24" s="84"/>
      <c r="EMW24" s="84"/>
      <c r="EMX24" s="84"/>
      <c r="EMY24" s="84"/>
      <c r="EMZ24" s="84"/>
      <c r="ENA24" s="84"/>
      <c r="ENB24" s="84"/>
      <c r="ENC24" s="84"/>
      <c r="END24" s="84"/>
      <c r="ENE24" s="84"/>
      <c r="ENF24" s="84"/>
      <c r="ENG24" s="84"/>
      <c r="ENH24" s="84"/>
      <c r="ENI24" s="84"/>
      <c r="ENJ24" s="84"/>
      <c r="ENK24" s="84"/>
      <c r="ENL24" s="84"/>
      <c r="ENM24" s="84"/>
      <c r="ENN24" s="84"/>
      <c r="ENO24" s="84"/>
      <c r="ENP24" s="84"/>
      <c r="ENQ24" s="84"/>
      <c r="ENR24" s="84"/>
      <c r="ENS24" s="84"/>
      <c r="ENT24" s="84"/>
      <c r="ENU24" s="84"/>
      <c r="ENV24" s="84"/>
      <c r="ENW24" s="84"/>
      <c r="ENX24" s="84"/>
      <c r="ENY24" s="84"/>
      <c r="ENZ24" s="84"/>
      <c r="EOA24" s="84"/>
      <c r="EOB24" s="84"/>
      <c r="EOC24" s="84"/>
      <c r="EOD24" s="84"/>
      <c r="EOE24" s="84"/>
      <c r="EOF24" s="84"/>
      <c r="EOG24" s="84"/>
      <c r="EOH24" s="84"/>
      <c r="EOI24" s="84"/>
      <c r="EOJ24" s="84"/>
      <c r="EOK24" s="84"/>
      <c r="EOL24" s="84"/>
      <c r="EOM24" s="84"/>
      <c r="EON24" s="84"/>
      <c r="EOO24" s="84"/>
      <c r="EOP24" s="84"/>
      <c r="EOQ24" s="84"/>
      <c r="EOR24" s="84"/>
      <c r="EOS24" s="84"/>
      <c r="EOT24" s="84"/>
      <c r="EOU24" s="84"/>
      <c r="EOV24" s="84"/>
      <c r="EOW24" s="84"/>
      <c r="EOX24" s="84"/>
      <c r="EOY24" s="84"/>
      <c r="EOZ24" s="84"/>
      <c r="EPA24" s="84"/>
      <c r="EPB24" s="84"/>
      <c r="EPC24" s="84"/>
      <c r="EPD24" s="84"/>
      <c r="EPE24" s="84"/>
      <c r="EPF24" s="84"/>
      <c r="EPG24" s="84"/>
      <c r="EPH24" s="84"/>
      <c r="EPI24" s="84"/>
      <c r="EPJ24" s="84"/>
      <c r="EPK24" s="84"/>
      <c r="EPL24" s="84"/>
      <c r="EPM24" s="84"/>
      <c r="EPN24" s="84"/>
      <c r="EPO24" s="84"/>
      <c r="EPP24" s="84"/>
      <c r="EPQ24" s="84"/>
      <c r="EPR24" s="84"/>
      <c r="EPS24" s="84"/>
      <c r="EPT24" s="84"/>
      <c r="EPU24" s="84"/>
      <c r="EPV24" s="84"/>
      <c r="EPW24" s="84"/>
      <c r="EPX24" s="84"/>
      <c r="EPY24" s="84"/>
      <c r="EPZ24" s="84"/>
      <c r="EQA24" s="84"/>
      <c r="EQB24" s="84"/>
      <c r="EQC24" s="84"/>
      <c r="EQD24" s="84"/>
      <c r="EQE24" s="84"/>
      <c r="EQF24" s="84"/>
      <c r="EQG24" s="84"/>
      <c r="EQH24" s="84"/>
      <c r="EQI24" s="84"/>
      <c r="EQJ24" s="84"/>
      <c r="EQK24" s="84"/>
      <c r="EQL24" s="84"/>
      <c r="EQM24" s="84"/>
      <c r="EQN24" s="84"/>
      <c r="EQO24" s="84"/>
      <c r="EQP24" s="84"/>
      <c r="EQQ24" s="84"/>
      <c r="EQR24" s="84"/>
      <c r="EQS24" s="84"/>
      <c r="EQT24" s="84"/>
      <c r="EQU24" s="84"/>
      <c r="EQV24" s="84"/>
      <c r="EQW24" s="84"/>
      <c r="EQX24" s="84"/>
      <c r="EQY24" s="84"/>
      <c r="EQZ24" s="84"/>
      <c r="ERA24" s="84"/>
      <c r="ERB24" s="84"/>
      <c r="ERC24" s="84"/>
      <c r="ERD24" s="84"/>
      <c r="ERE24" s="84"/>
      <c r="ERF24" s="84"/>
      <c r="ERG24" s="84"/>
      <c r="ERH24" s="84"/>
      <c r="ERI24" s="84"/>
      <c r="ERJ24" s="84"/>
      <c r="ERK24" s="84"/>
      <c r="ERL24" s="84"/>
      <c r="ERM24" s="84"/>
      <c r="ERN24" s="84"/>
      <c r="ERO24" s="84"/>
      <c r="ERP24" s="84"/>
      <c r="ERQ24" s="84"/>
      <c r="ERR24" s="84"/>
      <c r="ERS24" s="84"/>
      <c r="ERT24" s="84"/>
      <c r="ERU24" s="84"/>
      <c r="ERV24" s="84"/>
      <c r="ERW24" s="84"/>
      <c r="ERX24" s="84"/>
      <c r="ERY24" s="84"/>
      <c r="ERZ24" s="84"/>
      <c r="ESA24" s="84"/>
      <c r="ESB24" s="84"/>
      <c r="ESC24" s="84"/>
      <c r="ESD24" s="84"/>
      <c r="ESE24" s="84"/>
      <c r="ESF24" s="84"/>
      <c r="ESG24" s="84"/>
      <c r="ESH24" s="84"/>
      <c r="ESI24" s="84"/>
      <c r="ESJ24" s="84"/>
      <c r="ESK24" s="84"/>
      <c r="ESL24" s="84"/>
      <c r="ESM24" s="84"/>
      <c r="ESN24" s="84"/>
      <c r="ESO24" s="84"/>
      <c r="ESP24" s="84"/>
      <c r="ESQ24" s="84"/>
      <c r="ESR24" s="84"/>
      <c r="ESS24" s="84"/>
      <c r="EST24" s="84"/>
      <c r="ESU24" s="84"/>
      <c r="ESV24" s="84"/>
      <c r="ESW24" s="84"/>
      <c r="ESX24" s="84"/>
      <c r="ESY24" s="84"/>
      <c r="ESZ24" s="84"/>
      <c r="ETA24" s="84"/>
      <c r="ETB24" s="84"/>
      <c r="ETC24" s="84"/>
      <c r="ETD24" s="84"/>
      <c r="ETE24" s="84"/>
      <c r="ETF24" s="84"/>
      <c r="ETG24" s="84"/>
      <c r="ETH24" s="84"/>
      <c r="ETI24" s="84"/>
      <c r="ETJ24" s="84"/>
      <c r="ETK24" s="84"/>
      <c r="ETL24" s="84"/>
      <c r="ETM24" s="84"/>
      <c r="ETN24" s="84"/>
      <c r="ETO24" s="84"/>
      <c r="ETP24" s="84"/>
      <c r="ETQ24" s="84"/>
      <c r="ETR24" s="84"/>
      <c r="ETS24" s="84"/>
      <c r="ETT24" s="84"/>
      <c r="ETU24" s="84"/>
      <c r="ETV24" s="84"/>
      <c r="ETW24" s="84"/>
      <c r="ETX24" s="84"/>
      <c r="ETY24" s="84"/>
      <c r="ETZ24" s="84"/>
      <c r="EUA24" s="84"/>
      <c r="EUB24" s="84"/>
      <c r="EUC24" s="84"/>
      <c r="EUD24" s="84"/>
      <c r="EUE24" s="84"/>
      <c r="EUF24" s="84"/>
      <c r="EUG24" s="84"/>
      <c r="EUH24" s="84"/>
      <c r="EUI24" s="84"/>
      <c r="EUJ24" s="84"/>
      <c r="EUK24" s="84"/>
      <c r="EUL24" s="84"/>
      <c r="EUM24" s="84"/>
      <c r="EUN24" s="84"/>
      <c r="EUO24" s="84"/>
      <c r="EUP24" s="84"/>
      <c r="EUQ24" s="84"/>
      <c r="EUR24" s="84"/>
      <c r="EUS24" s="84"/>
      <c r="EUT24" s="84"/>
      <c r="EUU24" s="84"/>
      <c r="EUV24" s="84"/>
      <c r="EUW24" s="84"/>
      <c r="EUX24" s="84"/>
      <c r="EUY24" s="84"/>
      <c r="EUZ24" s="84"/>
      <c r="EVA24" s="84"/>
      <c r="EVB24" s="84"/>
      <c r="EVC24" s="84"/>
      <c r="EVD24" s="84"/>
      <c r="EVE24" s="84"/>
      <c r="EVF24" s="84"/>
      <c r="EVG24" s="84"/>
      <c r="EVH24" s="84"/>
      <c r="EVI24" s="84"/>
      <c r="EVJ24" s="84"/>
      <c r="EVK24" s="84"/>
      <c r="EVL24" s="84"/>
      <c r="EVM24" s="84"/>
      <c r="EVN24" s="84"/>
      <c r="EVO24" s="84"/>
      <c r="EVP24" s="84"/>
      <c r="EVQ24" s="84"/>
      <c r="EVR24" s="84"/>
      <c r="EVS24" s="84"/>
      <c r="EVT24" s="84"/>
      <c r="EVU24" s="84"/>
      <c r="EVV24" s="84"/>
      <c r="EVW24" s="84"/>
      <c r="EVX24" s="84"/>
      <c r="EVY24" s="84"/>
      <c r="EVZ24" s="84"/>
      <c r="EWA24" s="84"/>
      <c r="EWB24" s="84"/>
      <c r="EWC24" s="84"/>
      <c r="EWD24" s="84"/>
      <c r="EWE24" s="84"/>
      <c r="EWF24" s="84"/>
      <c r="EWG24" s="84"/>
      <c r="EWH24" s="84"/>
      <c r="EWI24" s="84"/>
      <c r="EWJ24" s="84"/>
      <c r="EWK24" s="84"/>
      <c r="EWL24" s="84"/>
      <c r="EWM24" s="84"/>
      <c r="EWN24" s="84"/>
      <c r="EWO24" s="84"/>
      <c r="EWP24" s="84"/>
      <c r="EWQ24" s="84"/>
      <c r="EWR24" s="84"/>
      <c r="EWS24" s="84"/>
      <c r="EWT24" s="84"/>
      <c r="EWU24" s="84"/>
      <c r="EWV24" s="84"/>
      <c r="EWW24" s="84"/>
      <c r="EWX24" s="84"/>
      <c r="EWY24" s="84"/>
      <c r="EWZ24" s="84"/>
      <c r="EXA24" s="84"/>
      <c r="EXB24" s="84"/>
      <c r="EXC24" s="84"/>
      <c r="EXD24" s="84"/>
      <c r="EXE24" s="84"/>
      <c r="EXF24" s="84"/>
      <c r="EXG24" s="84"/>
      <c r="EXH24" s="84"/>
      <c r="EXI24" s="84"/>
      <c r="EXJ24" s="84"/>
      <c r="EXK24" s="84"/>
      <c r="EXL24" s="84"/>
      <c r="EXM24" s="84"/>
      <c r="EXN24" s="84"/>
      <c r="EXO24" s="84"/>
      <c r="EXP24" s="84"/>
      <c r="EXQ24" s="84"/>
      <c r="EXR24" s="84"/>
      <c r="EXS24" s="84"/>
      <c r="EXT24" s="84"/>
      <c r="EXU24" s="84"/>
      <c r="EXV24" s="84"/>
      <c r="EXW24" s="84"/>
      <c r="EXX24" s="84"/>
      <c r="EXY24" s="84"/>
      <c r="EXZ24" s="84"/>
      <c r="EYA24" s="84"/>
      <c r="EYB24" s="84"/>
      <c r="EYC24" s="84"/>
      <c r="EYD24" s="84"/>
      <c r="EYE24" s="84"/>
      <c r="EYF24" s="84"/>
      <c r="EYG24" s="84"/>
      <c r="EYH24" s="84"/>
      <c r="EYI24" s="84"/>
      <c r="EYJ24" s="84"/>
      <c r="EYK24" s="84"/>
      <c r="EYL24" s="84"/>
      <c r="EYM24" s="84"/>
      <c r="EYN24" s="84"/>
      <c r="EYO24" s="84"/>
      <c r="EYP24" s="84"/>
      <c r="EYQ24" s="84"/>
      <c r="EYR24" s="84"/>
      <c r="EYS24" s="84"/>
      <c r="EYT24" s="84"/>
      <c r="EYU24" s="84"/>
      <c r="EYV24" s="84"/>
      <c r="EYW24" s="84"/>
      <c r="EYX24" s="84"/>
      <c r="EYY24" s="84"/>
      <c r="EYZ24" s="84"/>
      <c r="EZA24" s="84"/>
      <c r="EZB24" s="84"/>
      <c r="EZC24" s="84"/>
      <c r="EZD24" s="84"/>
      <c r="EZE24" s="84"/>
      <c r="EZF24" s="84"/>
      <c r="EZG24" s="84"/>
      <c r="EZH24" s="84"/>
      <c r="EZI24" s="84"/>
      <c r="EZJ24" s="84"/>
      <c r="EZK24" s="84"/>
      <c r="EZL24" s="84"/>
      <c r="EZM24" s="84"/>
      <c r="EZN24" s="84"/>
      <c r="EZO24" s="84"/>
      <c r="EZP24" s="84"/>
      <c r="EZQ24" s="84"/>
      <c r="EZR24" s="84"/>
      <c r="EZS24" s="84"/>
      <c r="EZT24" s="84"/>
      <c r="EZU24" s="84"/>
      <c r="EZV24" s="84"/>
      <c r="EZW24" s="84"/>
      <c r="EZX24" s="84"/>
      <c r="EZY24" s="84"/>
      <c r="EZZ24" s="84"/>
      <c r="FAA24" s="84"/>
      <c r="FAB24" s="84"/>
      <c r="FAC24" s="84"/>
      <c r="FAD24" s="84"/>
      <c r="FAE24" s="84"/>
      <c r="FAF24" s="84"/>
      <c r="FAG24" s="84"/>
      <c r="FAH24" s="84"/>
      <c r="FAI24" s="84"/>
      <c r="FAJ24" s="84"/>
      <c r="FAK24" s="84"/>
      <c r="FAL24" s="84"/>
      <c r="FAM24" s="84"/>
      <c r="FAN24" s="84"/>
      <c r="FAO24" s="84"/>
      <c r="FAP24" s="84"/>
      <c r="FAQ24" s="84"/>
      <c r="FAR24" s="84"/>
      <c r="FAS24" s="84"/>
      <c r="FAT24" s="84"/>
      <c r="FAU24" s="84"/>
      <c r="FAV24" s="84"/>
      <c r="FAW24" s="84"/>
      <c r="FAX24" s="84"/>
      <c r="FAY24" s="84"/>
      <c r="FAZ24" s="84"/>
      <c r="FBA24" s="84"/>
      <c r="FBB24" s="84"/>
      <c r="FBC24" s="84"/>
      <c r="FBD24" s="84"/>
      <c r="FBE24" s="84"/>
      <c r="FBF24" s="84"/>
      <c r="FBG24" s="84"/>
      <c r="FBH24" s="84"/>
      <c r="FBI24" s="84"/>
      <c r="FBJ24" s="84"/>
      <c r="FBK24" s="84"/>
      <c r="FBL24" s="84"/>
      <c r="FBM24" s="84"/>
      <c r="FBN24" s="84"/>
      <c r="FBO24" s="84"/>
      <c r="FBP24" s="84"/>
      <c r="FBQ24" s="84"/>
      <c r="FBR24" s="84"/>
      <c r="FBS24" s="84"/>
      <c r="FBT24" s="84"/>
      <c r="FBU24" s="84"/>
      <c r="FBV24" s="84"/>
      <c r="FBW24" s="84"/>
      <c r="FBX24" s="84"/>
      <c r="FBY24" s="84"/>
      <c r="FBZ24" s="84"/>
      <c r="FCA24" s="84"/>
      <c r="FCB24" s="84"/>
      <c r="FCC24" s="84"/>
      <c r="FCD24" s="84"/>
      <c r="FCE24" s="84"/>
      <c r="FCF24" s="84"/>
      <c r="FCG24" s="84"/>
      <c r="FCH24" s="84"/>
      <c r="FCI24" s="84"/>
      <c r="FCJ24" s="84"/>
      <c r="FCK24" s="84"/>
      <c r="FCL24" s="84"/>
      <c r="FCM24" s="84"/>
      <c r="FCN24" s="84"/>
      <c r="FCO24" s="84"/>
      <c r="FCP24" s="84"/>
      <c r="FCQ24" s="84"/>
      <c r="FCR24" s="84"/>
      <c r="FCS24" s="84"/>
      <c r="FCT24" s="84"/>
      <c r="FCU24" s="84"/>
      <c r="FCV24" s="84"/>
      <c r="FCW24" s="84"/>
      <c r="FCX24" s="84"/>
      <c r="FCY24" s="84"/>
      <c r="FCZ24" s="84"/>
      <c r="FDA24" s="84"/>
      <c r="FDB24" s="84"/>
      <c r="FDC24" s="84"/>
      <c r="FDD24" s="84"/>
      <c r="FDE24" s="84"/>
      <c r="FDF24" s="84"/>
      <c r="FDG24" s="84"/>
      <c r="FDH24" s="84"/>
      <c r="FDI24" s="84"/>
      <c r="FDJ24" s="84"/>
      <c r="FDK24" s="84"/>
      <c r="FDL24" s="84"/>
      <c r="FDM24" s="84"/>
      <c r="FDN24" s="84"/>
      <c r="FDO24" s="84"/>
      <c r="FDP24" s="84"/>
      <c r="FDQ24" s="84"/>
      <c r="FDR24" s="84"/>
      <c r="FDS24" s="84"/>
      <c r="FDT24" s="84"/>
      <c r="FDU24" s="84"/>
      <c r="FDV24" s="84"/>
      <c r="FDW24" s="84"/>
      <c r="FDX24" s="84"/>
      <c r="FDY24" s="84"/>
      <c r="FDZ24" s="84"/>
      <c r="FEA24" s="84"/>
      <c r="FEB24" s="84"/>
      <c r="FEC24" s="84"/>
      <c r="FED24" s="84"/>
      <c r="FEE24" s="84"/>
      <c r="FEF24" s="84"/>
      <c r="FEG24" s="84"/>
      <c r="FEH24" s="84"/>
      <c r="FEI24" s="84"/>
      <c r="FEJ24" s="84"/>
      <c r="FEK24" s="84"/>
      <c r="FEL24" s="84"/>
      <c r="FEM24" s="84"/>
      <c r="FEN24" s="84"/>
      <c r="FEO24" s="84"/>
      <c r="FEP24" s="84"/>
      <c r="FEQ24" s="84"/>
      <c r="FER24" s="84"/>
      <c r="FES24" s="84"/>
      <c r="FET24" s="84"/>
      <c r="FEU24" s="84"/>
      <c r="FEV24" s="84"/>
      <c r="FEW24" s="84"/>
      <c r="FEX24" s="84"/>
      <c r="FEY24" s="84"/>
      <c r="FEZ24" s="84"/>
      <c r="FFA24" s="84"/>
      <c r="FFB24" s="84"/>
      <c r="FFC24" s="84"/>
      <c r="FFD24" s="84"/>
      <c r="FFE24" s="84"/>
      <c r="FFF24" s="84"/>
      <c r="FFG24" s="84"/>
      <c r="FFH24" s="84"/>
      <c r="FFI24" s="84"/>
      <c r="FFJ24" s="84"/>
      <c r="FFK24" s="84"/>
      <c r="FFL24" s="84"/>
      <c r="FFM24" s="84"/>
      <c r="FFN24" s="84"/>
      <c r="FFO24" s="84"/>
      <c r="FFP24" s="84"/>
      <c r="FFQ24" s="84"/>
      <c r="FFR24" s="84"/>
      <c r="FFS24" s="84"/>
      <c r="FFT24" s="84"/>
      <c r="FFU24" s="84"/>
      <c r="FFV24" s="84"/>
      <c r="FFW24" s="84"/>
      <c r="FFX24" s="84"/>
      <c r="FFY24" s="84"/>
      <c r="FFZ24" s="84"/>
      <c r="FGA24" s="84"/>
      <c r="FGB24" s="84"/>
      <c r="FGC24" s="84"/>
      <c r="FGD24" s="84"/>
      <c r="FGE24" s="84"/>
      <c r="FGF24" s="84"/>
      <c r="FGG24" s="84"/>
      <c r="FGH24" s="84"/>
      <c r="FGI24" s="84"/>
      <c r="FGJ24" s="84"/>
      <c r="FGK24" s="84"/>
      <c r="FGL24" s="84"/>
      <c r="FGM24" s="84"/>
      <c r="FGN24" s="84"/>
      <c r="FGO24" s="84"/>
      <c r="FGP24" s="84"/>
      <c r="FGQ24" s="84"/>
      <c r="FGR24" s="84"/>
      <c r="FGS24" s="84"/>
      <c r="FGT24" s="84"/>
      <c r="FGU24" s="84"/>
      <c r="FGV24" s="84"/>
      <c r="FGW24" s="84"/>
      <c r="FGX24" s="84"/>
      <c r="FGY24" s="84"/>
      <c r="FGZ24" s="84"/>
      <c r="FHA24" s="84"/>
      <c r="FHB24" s="84"/>
      <c r="FHC24" s="84"/>
      <c r="FHD24" s="84"/>
      <c r="FHE24" s="84"/>
      <c r="FHF24" s="84"/>
      <c r="FHG24" s="84"/>
      <c r="FHH24" s="84"/>
      <c r="FHI24" s="84"/>
      <c r="FHJ24" s="84"/>
      <c r="FHK24" s="84"/>
      <c r="FHL24" s="84"/>
      <c r="FHM24" s="84"/>
      <c r="FHN24" s="84"/>
      <c r="FHO24" s="84"/>
      <c r="FHP24" s="84"/>
      <c r="FHQ24" s="84"/>
      <c r="FHR24" s="84"/>
      <c r="FHS24" s="84"/>
      <c r="FHT24" s="84"/>
      <c r="FHU24" s="84"/>
      <c r="FHV24" s="84"/>
      <c r="FHW24" s="84"/>
      <c r="FHX24" s="84"/>
      <c r="FHY24" s="84"/>
      <c r="FHZ24" s="84"/>
      <c r="FIA24" s="84"/>
      <c r="FIB24" s="84"/>
      <c r="FIC24" s="84"/>
      <c r="FID24" s="84"/>
      <c r="FIE24" s="84"/>
      <c r="FIF24" s="84"/>
      <c r="FIG24" s="84"/>
      <c r="FIH24" s="84"/>
      <c r="FII24" s="84"/>
      <c r="FIJ24" s="84"/>
      <c r="FIK24" s="84"/>
      <c r="FIL24" s="84"/>
      <c r="FIM24" s="84"/>
      <c r="FIN24" s="84"/>
      <c r="FIO24" s="84"/>
      <c r="FIP24" s="84"/>
      <c r="FIQ24" s="84"/>
      <c r="FIR24" s="84"/>
      <c r="FIS24" s="84"/>
      <c r="FIT24" s="84"/>
      <c r="FIU24" s="84"/>
      <c r="FIV24" s="84"/>
      <c r="FIW24" s="84"/>
      <c r="FIX24" s="84"/>
      <c r="FIY24" s="84"/>
      <c r="FIZ24" s="84"/>
      <c r="FJA24" s="84"/>
      <c r="FJB24" s="84"/>
      <c r="FJC24" s="84"/>
      <c r="FJD24" s="84"/>
      <c r="FJE24" s="84"/>
      <c r="FJF24" s="84"/>
      <c r="FJG24" s="84"/>
      <c r="FJH24" s="84"/>
      <c r="FJI24" s="84"/>
      <c r="FJJ24" s="84"/>
      <c r="FJK24" s="84"/>
      <c r="FJL24" s="84"/>
      <c r="FJM24" s="84"/>
      <c r="FJN24" s="84"/>
      <c r="FJO24" s="84"/>
      <c r="FJP24" s="84"/>
      <c r="FJQ24" s="84"/>
      <c r="FJR24" s="84"/>
      <c r="FJS24" s="84"/>
      <c r="FJT24" s="84"/>
      <c r="FJU24" s="84"/>
      <c r="FJV24" s="84"/>
      <c r="FJW24" s="84"/>
      <c r="FJX24" s="84"/>
      <c r="FJY24" s="84"/>
      <c r="FJZ24" s="84"/>
      <c r="FKA24" s="84"/>
      <c r="FKB24" s="84"/>
      <c r="FKC24" s="84"/>
      <c r="FKD24" s="84"/>
      <c r="FKE24" s="84"/>
      <c r="FKF24" s="84"/>
      <c r="FKG24" s="84"/>
      <c r="FKH24" s="84"/>
      <c r="FKI24" s="84"/>
      <c r="FKJ24" s="84"/>
      <c r="FKK24" s="84"/>
      <c r="FKL24" s="84"/>
      <c r="FKM24" s="84"/>
      <c r="FKN24" s="84"/>
      <c r="FKO24" s="84"/>
      <c r="FKP24" s="84"/>
      <c r="FKQ24" s="84"/>
      <c r="FKR24" s="84"/>
      <c r="FKS24" s="84"/>
      <c r="FKT24" s="84"/>
      <c r="FKU24" s="84"/>
      <c r="FKV24" s="84"/>
      <c r="FKW24" s="84"/>
      <c r="FKX24" s="84"/>
      <c r="FKY24" s="84"/>
      <c r="FKZ24" s="84"/>
      <c r="FLA24" s="84"/>
      <c r="FLB24" s="84"/>
      <c r="FLC24" s="84"/>
      <c r="FLD24" s="84"/>
      <c r="FLE24" s="84"/>
      <c r="FLF24" s="84"/>
      <c r="FLG24" s="84"/>
      <c r="FLH24" s="84"/>
      <c r="FLI24" s="84"/>
      <c r="FLJ24" s="84"/>
      <c r="FLK24" s="84"/>
      <c r="FLL24" s="84"/>
      <c r="FLM24" s="84"/>
      <c r="FLN24" s="84"/>
      <c r="FLO24" s="84"/>
      <c r="FLP24" s="84"/>
      <c r="FLQ24" s="84"/>
      <c r="FLR24" s="84"/>
      <c r="FLS24" s="84"/>
      <c r="FLT24" s="84"/>
      <c r="FLU24" s="84"/>
      <c r="FLV24" s="84"/>
      <c r="FLW24" s="84"/>
      <c r="FLX24" s="84"/>
      <c r="FLY24" s="84"/>
      <c r="FLZ24" s="84"/>
      <c r="FMA24" s="84"/>
      <c r="FMB24" s="84"/>
      <c r="FMC24" s="84"/>
      <c r="FMD24" s="84"/>
      <c r="FME24" s="84"/>
      <c r="FMF24" s="84"/>
      <c r="FMG24" s="84"/>
      <c r="FMH24" s="84"/>
      <c r="FMI24" s="84"/>
      <c r="FMJ24" s="84"/>
      <c r="FMK24" s="84"/>
      <c r="FML24" s="84"/>
      <c r="FMM24" s="84"/>
      <c r="FMN24" s="84"/>
      <c r="FMO24" s="84"/>
      <c r="FMP24" s="84"/>
      <c r="FMQ24" s="84"/>
      <c r="FMR24" s="84"/>
      <c r="FMS24" s="84"/>
      <c r="FMT24" s="84"/>
      <c r="FMU24" s="84"/>
      <c r="FMV24" s="84"/>
      <c r="FMW24" s="84"/>
      <c r="FMX24" s="84"/>
      <c r="FMY24" s="84"/>
      <c r="FMZ24" s="84"/>
      <c r="FNA24" s="84"/>
      <c r="FNB24" s="84"/>
      <c r="FNC24" s="84"/>
      <c r="FND24" s="84"/>
      <c r="FNE24" s="84"/>
      <c r="FNF24" s="84"/>
      <c r="FNG24" s="84"/>
      <c r="FNH24" s="84"/>
      <c r="FNI24" s="84"/>
      <c r="FNJ24" s="84"/>
      <c r="FNK24" s="84"/>
      <c r="FNL24" s="84"/>
      <c r="FNM24" s="84"/>
      <c r="FNN24" s="84"/>
      <c r="FNO24" s="84"/>
      <c r="FNP24" s="84"/>
      <c r="FNQ24" s="84"/>
      <c r="FNR24" s="84"/>
      <c r="FNS24" s="84"/>
      <c r="FNT24" s="84"/>
      <c r="FNU24" s="84"/>
      <c r="FNV24" s="84"/>
      <c r="FNW24" s="84"/>
      <c r="FNX24" s="84"/>
      <c r="FNY24" s="84"/>
      <c r="FNZ24" s="84"/>
      <c r="FOA24" s="84"/>
      <c r="FOB24" s="84"/>
      <c r="FOC24" s="84"/>
      <c r="FOD24" s="84"/>
      <c r="FOE24" s="84"/>
      <c r="FOF24" s="84"/>
      <c r="FOG24" s="84"/>
      <c r="FOH24" s="84"/>
      <c r="FOI24" s="84"/>
      <c r="FOJ24" s="84"/>
      <c r="FOK24" s="84"/>
      <c r="FOL24" s="84"/>
      <c r="FOM24" s="84"/>
      <c r="FON24" s="84"/>
      <c r="FOO24" s="84"/>
      <c r="FOP24" s="84"/>
      <c r="FOQ24" s="84"/>
      <c r="FOR24" s="84"/>
      <c r="FOS24" s="84"/>
      <c r="FOT24" s="84"/>
      <c r="FOU24" s="84"/>
      <c r="FOV24" s="84"/>
      <c r="FOW24" s="84"/>
      <c r="FOX24" s="84"/>
      <c r="FOY24" s="84"/>
      <c r="FOZ24" s="84"/>
      <c r="FPA24" s="84"/>
      <c r="FPB24" s="84"/>
      <c r="FPC24" s="84"/>
      <c r="FPD24" s="84"/>
      <c r="FPE24" s="84"/>
      <c r="FPF24" s="84"/>
      <c r="FPG24" s="84"/>
      <c r="FPH24" s="84"/>
      <c r="FPI24" s="84"/>
      <c r="FPJ24" s="84"/>
      <c r="FPK24" s="84"/>
      <c r="FPL24" s="84"/>
      <c r="FPM24" s="84"/>
      <c r="FPN24" s="84"/>
      <c r="FPO24" s="84"/>
      <c r="FPP24" s="84"/>
      <c r="FPQ24" s="84"/>
      <c r="FPR24" s="84"/>
      <c r="FPS24" s="84"/>
      <c r="FPT24" s="84"/>
      <c r="FPU24" s="84"/>
      <c r="FPV24" s="84"/>
      <c r="FPW24" s="84"/>
      <c r="FPX24" s="84"/>
      <c r="FPY24" s="84"/>
      <c r="FPZ24" s="84"/>
      <c r="FQA24" s="84"/>
      <c r="FQB24" s="84"/>
      <c r="FQC24" s="84"/>
      <c r="FQD24" s="84"/>
      <c r="FQE24" s="84"/>
      <c r="FQF24" s="84"/>
      <c r="FQG24" s="84"/>
      <c r="FQH24" s="84"/>
      <c r="FQI24" s="84"/>
      <c r="FQJ24" s="84"/>
      <c r="FQK24" s="84"/>
      <c r="FQL24" s="84"/>
      <c r="FQM24" s="84"/>
      <c r="FQN24" s="84"/>
      <c r="FQO24" s="84"/>
      <c r="FQP24" s="84"/>
      <c r="FQQ24" s="84"/>
      <c r="FQR24" s="84"/>
      <c r="FQS24" s="84"/>
      <c r="FQT24" s="84"/>
      <c r="FQU24" s="84"/>
      <c r="FQV24" s="84"/>
      <c r="FQW24" s="84"/>
      <c r="FQX24" s="84"/>
      <c r="FQY24" s="84"/>
      <c r="FQZ24" s="84"/>
      <c r="FRA24" s="84"/>
      <c r="FRB24" s="84"/>
      <c r="FRC24" s="84"/>
      <c r="FRD24" s="84"/>
      <c r="FRE24" s="84"/>
      <c r="FRF24" s="84"/>
      <c r="FRG24" s="84"/>
      <c r="FRH24" s="84"/>
      <c r="FRI24" s="84"/>
      <c r="FRJ24" s="84"/>
      <c r="FRK24" s="84"/>
      <c r="FRL24" s="84"/>
      <c r="FRM24" s="84"/>
      <c r="FRN24" s="84"/>
      <c r="FRO24" s="84"/>
      <c r="FRP24" s="84"/>
      <c r="FRQ24" s="84"/>
      <c r="FRR24" s="84"/>
      <c r="FRS24" s="84"/>
      <c r="FRT24" s="84"/>
      <c r="FRU24" s="84"/>
      <c r="FRV24" s="84"/>
      <c r="FRW24" s="84"/>
      <c r="FRX24" s="84"/>
      <c r="FRY24" s="84"/>
      <c r="FRZ24" s="84"/>
      <c r="FSA24" s="84"/>
      <c r="FSB24" s="84"/>
      <c r="FSC24" s="84"/>
      <c r="FSD24" s="84"/>
      <c r="FSE24" s="84"/>
      <c r="FSF24" s="84"/>
      <c r="FSG24" s="84"/>
      <c r="FSH24" s="84"/>
      <c r="FSI24" s="84"/>
      <c r="FSJ24" s="84"/>
      <c r="FSK24" s="84"/>
      <c r="FSL24" s="84"/>
      <c r="FSM24" s="84"/>
      <c r="FSN24" s="84"/>
      <c r="FSO24" s="84"/>
      <c r="FSP24" s="84"/>
      <c r="FSQ24" s="84"/>
      <c r="FSR24" s="84"/>
      <c r="FSS24" s="84"/>
      <c r="FST24" s="84"/>
      <c r="FSU24" s="84"/>
      <c r="FSV24" s="84"/>
      <c r="FSW24" s="84"/>
      <c r="FSX24" s="84"/>
      <c r="FSY24" s="84"/>
      <c r="FSZ24" s="84"/>
      <c r="FTA24" s="84"/>
      <c r="FTB24" s="84"/>
      <c r="FTC24" s="84"/>
      <c r="FTD24" s="84"/>
      <c r="FTE24" s="84"/>
      <c r="FTF24" s="84"/>
      <c r="FTG24" s="84"/>
      <c r="FTH24" s="84"/>
      <c r="FTI24" s="84"/>
      <c r="FTJ24" s="84"/>
      <c r="FTK24" s="84"/>
      <c r="FTL24" s="84"/>
      <c r="FTM24" s="84"/>
      <c r="FTN24" s="84"/>
      <c r="FTO24" s="84"/>
      <c r="FTP24" s="84"/>
      <c r="FTQ24" s="84"/>
      <c r="FTR24" s="84"/>
      <c r="FTS24" s="84"/>
      <c r="FTT24" s="84"/>
      <c r="FTU24" s="84"/>
      <c r="FTV24" s="84"/>
      <c r="FTW24" s="84"/>
      <c r="FTX24" s="84"/>
      <c r="FTY24" s="84"/>
      <c r="FTZ24" s="84"/>
      <c r="FUA24" s="84"/>
      <c r="FUB24" s="84"/>
      <c r="FUC24" s="84"/>
      <c r="FUD24" s="84"/>
      <c r="FUE24" s="84"/>
      <c r="FUF24" s="84"/>
      <c r="FUG24" s="84"/>
      <c r="FUH24" s="84"/>
      <c r="FUI24" s="84"/>
      <c r="FUJ24" s="84"/>
      <c r="FUK24" s="84"/>
      <c r="FUL24" s="84"/>
      <c r="FUM24" s="84"/>
      <c r="FUN24" s="84"/>
      <c r="FUO24" s="84"/>
      <c r="FUP24" s="84"/>
      <c r="FUQ24" s="84"/>
      <c r="FUR24" s="84"/>
      <c r="FUS24" s="84"/>
      <c r="FUT24" s="84"/>
      <c r="FUU24" s="84"/>
      <c r="FUV24" s="84"/>
      <c r="FUW24" s="84"/>
      <c r="FUX24" s="84"/>
      <c r="FUY24" s="84"/>
      <c r="FUZ24" s="84"/>
      <c r="FVA24" s="84"/>
      <c r="FVB24" s="84"/>
      <c r="FVC24" s="84"/>
      <c r="FVD24" s="84"/>
      <c r="FVE24" s="84"/>
      <c r="FVF24" s="84"/>
      <c r="FVG24" s="84"/>
      <c r="FVH24" s="84"/>
      <c r="FVI24" s="84"/>
      <c r="FVJ24" s="84"/>
      <c r="FVK24" s="84"/>
      <c r="FVL24" s="84"/>
      <c r="FVM24" s="84"/>
      <c r="FVN24" s="84"/>
      <c r="FVO24" s="84"/>
      <c r="FVP24" s="84"/>
      <c r="FVQ24" s="84"/>
      <c r="FVR24" s="84"/>
      <c r="FVS24" s="84"/>
      <c r="FVT24" s="84"/>
      <c r="FVU24" s="84"/>
      <c r="FVV24" s="84"/>
      <c r="FVW24" s="84"/>
      <c r="FVX24" s="84"/>
      <c r="FVY24" s="84"/>
      <c r="FVZ24" s="84"/>
      <c r="FWA24" s="84"/>
      <c r="FWB24" s="84"/>
      <c r="FWC24" s="84"/>
      <c r="FWD24" s="84"/>
      <c r="FWE24" s="84"/>
      <c r="FWF24" s="84"/>
      <c r="FWG24" s="84"/>
      <c r="FWH24" s="84"/>
      <c r="FWI24" s="84"/>
      <c r="FWJ24" s="84"/>
      <c r="FWK24" s="84"/>
      <c r="FWL24" s="84"/>
      <c r="FWM24" s="84"/>
      <c r="FWN24" s="84"/>
      <c r="FWO24" s="84"/>
      <c r="FWP24" s="84"/>
      <c r="FWQ24" s="84"/>
      <c r="FWR24" s="84"/>
      <c r="FWS24" s="84"/>
      <c r="FWT24" s="84"/>
      <c r="FWU24" s="84"/>
      <c r="FWV24" s="84"/>
      <c r="FWW24" s="84"/>
      <c r="FWX24" s="84"/>
      <c r="FWY24" s="84"/>
      <c r="FWZ24" s="84"/>
      <c r="FXA24" s="84"/>
      <c r="FXB24" s="84"/>
      <c r="FXC24" s="84"/>
      <c r="FXD24" s="84"/>
      <c r="FXE24" s="84"/>
      <c r="FXF24" s="84"/>
      <c r="FXG24" s="84"/>
      <c r="FXH24" s="84"/>
      <c r="FXI24" s="84"/>
      <c r="FXJ24" s="84"/>
      <c r="FXK24" s="84"/>
      <c r="FXL24" s="84"/>
      <c r="FXM24" s="84"/>
      <c r="FXN24" s="84"/>
      <c r="FXO24" s="84"/>
      <c r="FXP24" s="84"/>
      <c r="FXQ24" s="84"/>
      <c r="FXR24" s="84"/>
      <c r="FXS24" s="84"/>
      <c r="FXT24" s="84"/>
      <c r="FXU24" s="84"/>
      <c r="FXV24" s="84"/>
      <c r="FXW24" s="84"/>
      <c r="FXX24" s="84"/>
      <c r="FXY24" s="84"/>
      <c r="FXZ24" s="84"/>
      <c r="FYA24" s="84"/>
      <c r="FYB24" s="84"/>
      <c r="FYC24" s="84"/>
      <c r="FYD24" s="84"/>
      <c r="FYE24" s="84"/>
      <c r="FYF24" s="84"/>
      <c r="FYG24" s="84"/>
      <c r="FYH24" s="84"/>
      <c r="FYI24" s="84"/>
      <c r="FYJ24" s="84"/>
      <c r="FYK24" s="84"/>
      <c r="FYL24" s="84"/>
      <c r="FYM24" s="84"/>
      <c r="FYN24" s="84"/>
      <c r="FYO24" s="84"/>
      <c r="FYP24" s="84"/>
      <c r="FYQ24" s="84"/>
      <c r="FYR24" s="84"/>
      <c r="FYS24" s="84"/>
      <c r="FYT24" s="84"/>
      <c r="FYU24" s="84"/>
      <c r="FYV24" s="84"/>
      <c r="FYW24" s="84"/>
      <c r="FYX24" s="84"/>
      <c r="FYY24" s="84"/>
      <c r="FYZ24" s="84"/>
      <c r="FZA24" s="84"/>
      <c r="FZB24" s="84"/>
      <c r="FZC24" s="84"/>
      <c r="FZD24" s="84"/>
      <c r="FZE24" s="84"/>
      <c r="FZF24" s="84"/>
      <c r="FZG24" s="84"/>
      <c r="FZH24" s="84"/>
      <c r="FZI24" s="84"/>
      <c r="FZJ24" s="84"/>
      <c r="FZK24" s="84"/>
      <c r="FZL24" s="84"/>
      <c r="FZM24" s="84"/>
      <c r="FZN24" s="84"/>
      <c r="FZO24" s="84"/>
      <c r="FZP24" s="84"/>
      <c r="FZQ24" s="84"/>
      <c r="FZR24" s="84"/>
      <c r="FZS24" s="84"/>
      <c r="FZT24" s="84"/>
      <c r="FZU24" s="84"/>
      <c r="FZV24" s="84"/>
      <c r="FZW24" s="84"/>
      <c r="FZX24" s="84"/>
      <c r="FZY24" s="84"/>
      <c r="FZZ24" s="84"/>
      <c r="GAA24" s="84"/>
      <c r="GAB24" s="84"/>
      <c r="GAC24" s="84"/>
      <c r="GAD24" s="84"/>
      <c r="GAE24" s="84"/>
      <c r="GAF24" s="84"/>
      <c r="GAG24" s="84"/>
      <c r="GAH24" s="84"/>
      <c r="GAI24" s="84"/>
      <c r="GAJ24" s="84"/>
      <c r="GAK24" s="84"/>
      <c r="GAL24" s="84"/>
      <c r="GAM24" s="84"/>
      <c r="GAN24" s="84"/>
      <c r="GAO24" s="84"/>
      <c r="GAP24" s="84"/>
      <c r="GAQ24" s="84"/>
      <c r="GAR24" s="84"/>
      <c r="GAS24" s="84"/>
      <c r="GAT24" s="84"/>
      <c r="GAU24" s="84"/>
      <c r="GAV24" s="84"/>
      <c r="GAW24" s="84"/>
      <c r="GAX24" s="84"/>
      <c r="GAY24" s="84"/>
      <c r="GAZ24" s="84"/>
      <c r="GBA24" s="84"/>
      <c r="GBB24" s="84"/>
      <c r="GBC24" s="84"/>
      <c r="GBD24" s="84"/>
      <c r="GBE24" s="84"/>
      <c r="GBF24" s="84"/>
      <c r="GBG24" s="84"/>
      <c r="GBH24" s="84"/>
      <c r="GBI24" s="84"/>
      <c r="GBJ24" s="84"/>
      <c r="GBK24" s="84"/>
      <c r="GBL24" s="84"/>
      <c r="GBM24" s="84"/>
      <c r="GBN24" s="84"/>
      <c r="GBO24" s="84"/>
      <c r="GBP24" s="84"/>
      <c r="GBQ24" s="84"/>
      <c r="GBR24" s="84"/>
      <c r="GBS24" s="84"/>
      <c r="GBT24" s="84"/>
      <c r="GBU24" s="84"/>
      <c r="GBV24" s="84"/>
      <c r="GBW24" s="84"/>
      <c r="GBX24" s="84"/>
      <c r="GBY24" s="84"/>
      <c r="GBZ24" s="84"/>
      <c r="GCA24" s="84"/>
      <c r="GCB24" s="84"/>
      <c r="GCC24" s="84"/>
      <c r="GCD24" s="84"/>
      <c r="GCE24" s="84"/>
      <c r="GCF24" s="84"/>
      <c r="GCG24" s="84"/>
      <c r="GCH24" s="84"/>
      <c r="GCI24" s="84"/>
      <c r="GCJ24" s="84"/>
      <c r="GCK24" s="84"/>
      <c r="GCL24" s="84"/>
      <c r="GCM24" s="84"/>
      <c r="GCN24" s="84"/>
      <c r="GCO24" s="84"/>
      <c r="GCP24" s="84"/>
      <c r="GCQ24" s="84"/>
      <c r="GCR24" s="84"/>
      <c r="GCS24" s="84"/>
      <c r="GCT24" s="84"/>
      <c r="GCU24" s="84"/>
      <c r="GCV24" s="84"/>
      <c r="GCW24" s="84"/>
      <c r="GCX24" s="84"/>
      <c r="GCY24" s="84"/>
      <c r="GCZ24" s="84"/>
      <c r="GDA24" s="84"/>
      <c r="GDB24" s="84"/>
      <c r="GDC24" s="84"/>
      <c r="GDD24" s="84"/>
      <c r="GDE24" s="84"/>
      <c r="GDF24" s="84"/>
      <c r="GDG24" s="84"/>
      <c r="GDH24" s="84"/>
      <c r="GDI24" s="84"/>
      <c r="GDJ24" s="84"/>
      <c r="GDK24" s="84"/>
      <c r="GDL24" s="84"/>
      <c r="GDM24" s="84"/>
      <c r="GDN24" s="84"/>
      <c r="GDO24" s="84"/>
      <c r="GDP24" s="84"/>
      <c r="GDQ24" s="84"/>
      <c r="GDR24" s="84"/>
      <c r="GDS24" s="84"/>
      <c r="GDT24" s="84"/>
      <c r="GDU24" s="84"/>
      <c r="GDV24" s="84"/>
      <c r="GDW24" s="84"/>
      <c r="GDX24" s="84"/>
      <c r="GDY24" s="84"/>
      <c r="GDZ24" s="84"/>
      <c r="GEA24" s="84"/>
      <c r="GEB24" s="84"/>
      <c r="GEC24" s="84"/>
      <c r="GED24" s="84"/>
      <c r="GEE24" s="84"/>
      <c r="GEF24" s="84"/>
      <c r="GEG24" s="84"/>
      <c r="GEH24" s="84"/>
      <c r="GEI24" s="84"/>
      <c r="GEJ24" s="84"/>
      <c r="GEK24" s="84"/>
      <c r="GEL24" s="84"/>
      <c r="GEM24" s="84"/>
      <c r="GEN24" s="84"/>
      <c r="GEO24" s="84"/>
      <c r="GEP24" s="84"/>
      <c r="GEQ24" s="84"/>
      <c r="GER24" s="84"/>
      <c r="GES24" s="84"/>
      <c r="GET24" s="84"/>
      <c r="GEU24" s="84"/>
      <c r="GEV24" s="84"/>
      <c r="GEW24" s="84"/>
      <c r="GEX24" s="84"/>
      <c r="GEY24" s="84"/>
      <c r="GEZ24" s="84"/>
      <c r="GFA24" s="84"/>
      <c r="GFB24" s="84"/>
      <c r="GFC24" s="84"/>
      <c r="GFD24" s="84"/>
      <c r="GFE24" s="84"/>
      <c r="GFF24" s="84"/>
      <c r="GFG24" s="84"/>
      <c r="GFH24" s="84"/>
      <c r="GFI24" s="84"/>
      <c r="GFJ24" s="84"/>
      <c r="GFK24" s="84"/>
      <c r="GFL24" s="84"/>
      <c r="GFM24" s="84"/>
      <c r="GFN24" s="84"/>
      <c r="GFO24" s="84"/>
      <c r="GFP24" s="84"/>
      <c r="GFQ24" s="84"/>
      <c r="GFR24" s="84"/>
      <c r="GFS24" s="84"/>
      <c r="GFT24" s="84"/>
      <c r="GFU24" s="84"/>
      <c r="GFV24" s="84"/>
      <c r="GFW24" s="84"/>
      <c r="GFX24" s="84"/>
      <c r="GFY24" s="84"/>
      <c r="GFZ24" s="84"/>
      <c r="GGA24" s="84"/>
      <c r="GGB24" s="84"/>
      <c r="GGC24" s="84"/>
      <c r="GGD24" s="84"/>
      <c r="GGE24" s="84"/>
      <c r="GGF24" s="84"/>
      <c r="GGG24" s="84"/>
      <c r="GGH24" s="84"/>
      <c r="GGI24" s="84"/>
      <c r="GGJ24" s="84"/>
      <c r="GGK24" s="84"/>
      <c r="GGL24" s="84"/>
      <c r="GGM24" s="84"/>
      <c r="GGN24" s="84"/>
      <c r="GGO24" s="84"/>
      <c r="GGP24" s="84"/>
      <c r="GGQ24" s="84"/>
      <c r="GGR24" s="84"/>
      <c r="GGS24" s="84"/>
      <c r="GGT24" s="84"/>
      <c r="GGU24" s="84"/>
      <c r="GGV24" s="84"/>
      <c r="GGW24" s="84"/>
      <c r="GGX24" s="84"/>
      <c r="GGY24" s="84"/>
      <c r="GGZ24" s="84"/>
      <c r="GHA24" s="84"/>
      <c r="GHB24" s="84"/>
      <c r="GHC24" s="84"/>
      <c r="GHD24" s="84"/>
      <c r="GHE24" s="84"/>
      <c r="GHF24" s="84"/>
      <c r="GHG24" s="84"/>
      <c r="GHH24" s="84"/>
      <c r="GHI24" s="84"/>
      <c r="GHJ24" s="84"/>
      <c r="GHK24" s="84"/>
      <c r="GHL24" s="84"/>
      <c r="GHM24" s="84"/>
      <c r="GHN24" s="84"/>
      <c r="GHO24" s="84"/>
      <c r="GHP24" s="84"/>
      <c r="GHQ24" s="84"/>
      <c r="GHR24" s="84"/>
      <c r="GHS24" s="84"/>
      <c r="GHT24" s="84"/>
      <c r="GHU24" s="84"/>
      <c r="GHV24" s="84"/>
      <c r="GHW24" s="84"/>
      <c r="GHX24" s="84"/>
      <c r="GHY24" s="84"/>
      <c r="GHZ24" s="84"/>
      <c r="GIA24" s="84"/>
      <c r="GIB24" s="84"/>
      <c r="GIC24" s="84"/>
      <c r="GID24" s="84"/>
      <c r="GIE24" s="84"/>
      <c r="GIF24" s="84"/>
      <c r="GIG24" s="84"/>
      <c r="GIH24" s="84"/>
      <c r="GII24" s="84"/>
      <c r="GIJ24" s="84"/>
      <c r="GIK24" s="84"/>
      <c r="GIL24" s="84"/>
      <c r="GIM24" s="84"/>
      <c r="GIN24" s="84"/>
      <c r="GIO24" s="84"/>
      <c r="GIP24" s="84"/>
      <c r="GIQ24" s="84"/>
      <c r="GIR24" s="84"/>
      <c r="GIS24" s="84"/>
      <c r="GIT24" s="84"/>
      <c r="GIU24" s="84"/>
      <c r="GIV24" s="84"/>
      <c r="GIW24" s="84"/>
      <c r="GIX24" s="84"/>
      <c r="GIY24" s="84"/>
      <c r="GIZ24" s="84"/>
      <c r="GJA24" s="84"/>
      <c r="GJB24" s="84"/>
      <c r="GJC24" s="84"/>
      <c r="GJD24" s="84"/>
      <c r="GJE24" s="84"/>
      <c r="GJF24" s="84"/>
      <c r="GJG24" s="84"/>
      <c r="GJH24" s="84"/>
      <c r="GJI24" s="84"/>
      <c r="GJJ24" s="84"/>
      <c r="GJK24" s="84"/>
      <c r="GJL24" s="84"/>
      <c r="GJM24" s="84"/>
      <c r="GJN24" s="84"/>
      <c r="GJO24" s="84"/>
      <c r="GJP24" s="84"/>
      <c r="GJQ24" s="84"/>
      <c r="GJR24" s="84"/>
      <c r="GJS24" s="84"/>
      <c r="GJT24" s="84"/>
      <c r="GJU24" s="84"/>
      <c r="GJV24" s="84"/>
      <c r="GJW24" s="84"/>
      <c r="GJX24" s="84"/>
      <c r="GJY24" s="84"/>
      <c r="GJZ24" s="84"/>
      <c r="GKA24" s="84"/>
      <c r="GKB24" s="84"/>
      <c r="GKC24" s="84"/>
      <c r="GKD24" s="84"/>
      <c r="GKE24" s="84"/>
      <c r="GKF24" s="84"/>
      <c r="GKG24" s="84"/>
      <c r="GKH24" s="84"/>
      <c r="GKI24" s="84"/>
      <c r="GKJ24" s="84"/>
      <c r="GKK24" s="84"/>
      <c r="GKL24" s="84"/>
      <c r="GKM24" s="84"/>
      <c r="GKN24" s="84"/>
      <c r="GKO24" s="84"/>
      <c r="GKP24" s="84"/>
      <c r="GKQ24" s="84"/>
      <c r="GKR24" s="84"/>
      <c r="GKS24" s="84"/>
      <c r="GKT24" s="84"/>
      <c r="GKU24" s="84"/>
      <c r="GKV24" s="84"/>
      <c r="GKW24" s="84"/>
      <c r="GKX24" s="84"/>
      <c r="GKY24" s="84"/>
      <c r="GKZ24" s="84"/>
      <c r="GLA24" s="84"/>
      <c r="GLB24" s="84"/>
      <c r="GLC24" s="84"/>
      <c r="GLD24" s="84"/>
      <c r="GLE24" s="84"/>
      <c r="GLF24" s="84"/>
      <c r="GLG24" s="84"/>
      <c r="GLH24" s="84"/>
      <c r="GLI24" s="84"/>
      <c r="GLJ24" s="84"/>
      <c r="GLK24" s="84"/>
      <c r="GLL24" s="84"/>
      <c r="GLM24" s="84"/>
      <c r="GLN24" s="84"/>
      <c r="GLO24" s="84"/>
      <c r="GLP24" s="84"/>
      <c r="GLQ24" s="84"/>
      <c r="GLR24" s="84"/>
      <c r="GLS24" s="84"/>
      <c r="GLT24" s="84"/>
      <c r="GLU24" s="84"/>
      <c r="GLV24" s="84"/>
      <c r="GLW24" s="84"/>
      <c r="GLX24" s="84"/>
      <c r="GLY24" s="84"/>
      <c r="GLZ24" s="84"/>
      <c r="GMA24" s="84"/>
      <c r="GMB24" s="84"/>
      <c r="GMC24" s="84"/>
      <c r="GMD24" s="84"/>
      <c r="GME24" s="84"/>
      <c r="GMF24" s="84"/>
      <c r="GMG24" s="84"/>
      <c r="GMH24" s="84"/>
      <c r="GMI24" s="84"/>
      <c r="GMJ24" s="84"/>
      <c r="GMK24" s="84"/>
      <c r="GML24" s="84"/>
      <c r="GMM24" s="84"/>
      <c r="GMN24" s="84"/>
      <c r="GMO24" s="84"/>
      <c r="GMP24" s="84"/>
      <c r="GMQ24" s="84"/>
      <c r="GMR24" s="84"/>
      <c r="GMS24" s="84"/>
      <c r="GMT24" s="84"/>
      <c r="GMU24" s="84"/>
      <c r="GMV24" s="84"/>
      <c r="GMW24" s="84"/>
      <c r="GMX24" s="84"/>
      <c r="GMY24" s="84"/>
      <c r="GMZ24" s="84"/>
      <c r="GNA24" s="84"/>
      <c r="GNB24" s="84"/>
      <c r="GNC24" s="84"/>
      <c r="GND24" s="84"/>
      <c r="GNE24" s="84"/>
      <c r="GNF24" s="84"/>
      <c r="GNG24" s="84"/>
      <c r="GNH24" s="84"/>
      <c r="GNI24" s="84"/>
      <c r="GNJ24" s="84"/>
      <c r="GNK24" s="84"/>
      <c r="GNL24" s="84"/>
      <c r="GNM24" s="84"/>
      <c r="GNN24" s="84"/>
      <c r="GNO24" s="84"/>
      <c r="GNP24" s="84"/>
      <c r="GNQ24" s="84"/>
      <c r="GNR24" s="84"/>
      <c r="GNS24" s="84"/>
      <c r="GNT24" s="84"/>
      <c r="GNU24" s="84"/>
      <c r="GNV24" s="84"/>
      <c r="GNW24" s="84"/>
      <c r="GNX24" s="84"/>
      <c r="GNY24" s="84"/>
      <c r="GNZ24" s="84"/>
      <c r="GOA24" s="84"/>
      <c r="GOB24" s="84"/>
      <c r="GOC24" s="84"/>
      <c r="GOD24" s="84"/>
      <c r="GOE24" s="84"/>
      <c r="GOF24" s="84"/>
      <c r="GOG24" s="84"/>
      <c r="GOH24" s="84"/>
      <c r="GOI24" s="84"/>
      <c r="GOJ24" s="84"/>
      <c r="GOK24" s="84"/>
      <c r="GOL24" s="84"/>
      <c r="GOM24" s="84"/>
      <c r="GON24" s="84"/>
      <c r="GOO24" s="84"/>
      <c r="GOP24" s="84"/>
      <c r="GOQ24" s="84"/>
      <c r="GOR24" s="84"/>
      <c r="GOS24" s="84"/>
      <c r="GOT24" s="84"/>
      <c r="GOU24" s="84"/>
      <c r="GOV24" s="84"/>
      <c r="GOW24" s="84"/>
      <c r="GOX24" s="84"/>
      <c r="GOY24" s="84"/>
      <c r="GOZ24" s="84"/>
      <c r="GPA24" s="84"/>
      <c r="GPB24" s="84"/>
      <c r="GPC24" s="84"/>
      <c r="GPD24" s="84"/>
      <c r="GPE24" s="84"/>
      <c r="GPF24" s="84"/>
      <c r="GPG24" s="84"/>
      <c r="GPH24" s="84"/>
      <c r="GPI24" s="84"/>
      <c r="GPJ24" s="84"/>
      <c r="GPK24" s="84"/>
      <c r="GPL24" s="84"/>
      <c r="GPM24" s="84"/>
      <c r="GPN24" s="84"/>
      <c r="GPO24" s="84"/>
      <c r="GPP24" s="84"/>
      <c r="GPQ24" s="84"/>
      <c r="GPR24" s="84"/>
      <c r="GPS24" s="84"/>
      <c r="GPT24" s="84"/>
      <c r="GPU24" s="84"/>
      <c r="GPV24" s="84"/>
      <c r="GPW24" s="84"/>
      <c r="GPX24" s="84"/>
      <c r="GPY24" s="84"/>
      <c r="GPZ24" s="84"/>
      <c r="GQA24" s="84"/>
      <c r="GQB24" s="84"/>
      <c r="GQC24" s="84"/>
      <c r="GQD24" s="84"/>
      <c r="GQE24" s="84"/>
      <c r="GQF24" s="84"/>
      <c r="GQG24" s="84"/>
      <c r="GQH24" s="84"/>
      <c r="GQI24" s="84"/>
      <c r="GQJ24" s="84"/>
      <c r="GQK24" s="84"/>
      <c r="GQL24" s="84"/>
      <c r="GQM24" s="84"/>
      <c r="GQN24" s="84"/>
      <c r="GQO24" s="84"/>
      <c r="GQP24" s="84"/>
      <c r="GQQ24" s="84"/>
      <c r="GQR24" s="84"/>
      <c r="GQS24" s="84"/>
      <c r="GQT24" s="84"/>
      <c r="GQU24" s="84"/>
      <c r="GQV24" s="84"/>
      <c r="GQW24" s="84"/>
      <c r="GQX24" s="84"/>
      <c r="GQY24" s="84"/>
      <c r="GQZ24" s="84"/>
      <c r="GRA24" s="84"/>
      <c r="GRB24" s="84"/>
      <c r="GRC24" s="84"/>
      <c r="GRD24" s="84"/>
      <c r="GRE24" s="84"/>
      <c r="GRF24" s="84"/>
      <c r="GRG24" s="84"/>
      <c r="GRH24" s="84"/>
      <c r="GRI24" s="84"/>
      <c r="GRJ24" s="84"/>
      <c r="GRK24" s="84"/>
      <c r="GRL24" s="84"/>
      <c r="GRM24" s="84"/>
      <c r="GRN24" s="84"/>
      <c r="GRO24" s="84"/>
      <c r="GRP24" s="84"/>
      <c r="GRQ24" s="84"/>
      <c r="GRR24" s="84"/>
      <c r="GRS24" s="84"/>
      <c r="GRT24" s="84"/>
      <c r="GRU24" s="84"/>
      <c r="GRV24" s="84"/>
      <c r="GRW24" s="84"/>
      <c r="GRX24" s="84"/>
      <c r="GRY24" s="84"/>
      <c r="GRZ24" s="84"/>
      <c r="GSA24" s="84"/>
      <c r="GSB24" s="84"/>
      <c r="GSC24" s="84"/>
      <c r="GSD24" s="84"/>
      <c r="GSE24" s="84"/>
      <c r="GSF24" s="84"/>
      <c r="GSG24" s="84"/>
      <c r="GSH24" s="84"/>
      <c r="GSI24" s="84"/>
      <c r="GSJ24" s="84"/>
      <c r="GSK24" s="84"/>
      <c r="GSL24" s="84"/>
      <c r="GSM24" s="84"/>
      <c r="GSN24" s="84"/>
      <c r="GSO24" s="84"/>
      <c r="GSP24" s="84"/>
      <c r="GSQ24" s="84"/>
      <c r="GSR24" s="84"/>
      <c r="GSS24" s="84"/>
      <c r="GST24" s="84"/>
      <c r="GSU24" s="84"/>
      <c r="GSV24" s="84"/>
      <c r="GSW24" s="84"/>
      <c r="GSX24" s="84"/>
      <c r="GSY24" s="84"/>
      <c r="GSZ24" s="84"/>
      <c r="GTA24" s="84"/>
      <c r="GTB24" s="84"/>
      <c r="GTC24" s="84"/>
      <c r="GTD24" s="84"/>
      <c r="GTE24" s="84"/>
      <c r="GTF24" s="84"/>
      <c r="GTG24" s="84"/>
      <c r="GTH24" s="84"/>
      <c r="GTI24" s="84"/>
      <c r="GTJ24" s="84"/>
      <c r="GTK24" s="84"/>
      <c r="GTL24" s="84"/>
      <c r="GTM24" s="84"/>
      <c r="GTN24" s="84"/>
      <c r="GTO24" s="84"/>
      <c r="GTP24" s="84"/>
      <c r="GTQ24" s="84"/>
      <c r="GTR24" s="84"/>
      <c r="GTS24" s="84"/>
      <c r="GTT24" s="84"/>
      <c r="GTU24" s="84"/>
      <c r="GTV24" s="84"/>
      <c r="GTW24" s="84"/>
      <c r="GTX24" s="84"/>
      <c r="GTY24" s="84"/>
      <c r="GTZ24" s="84"/>
      <c r="GUA24" s="84"/>
      <c r="GUB24" s="84"/>
      <c r="GUC24" s="84"/>
      <c r="GUD24" s="84"/>
      <c r="GUE24" s="84"/>
      <c r="GUF24" s="84"/>
      <c r="GUG24" s="84"/>
      <c r="GUH24" s="84"/>
      <c r="GUI24" s="84"/>
      <c r="GUJ24" s="84"/>
      <c r="GUK24" s="84"/>
      <c r="GUL24" s="84"/>
      <c r="GUM24" s="84"/>
      <c r="GUN24" s="84"/>
      <c r="GUO24" s="84"/>
      <c r="GUP24" s="84"/>
      <c r="GUQ24" s="84"/>
      <c r="GUR24" s="84"/>
      <c r="GUS24" s="84"/>
      <c r="GUT24" s="84"/>
      <c r="GUU24" s="84"/>
      <c r="GUV24" s="84"/>
      <c r="GUW24" s="84"/>
      <c r="GUX24" s="84"/>
      <c r="GUY24" s="84"/>
      <c r="GUZ24" s="84"/>
      <c r="GVA24" s="84"/>
      <c r="GVB24" s="84"/>
      <c r="GVC24" s="84"/>
      <c r="GVD24" s="84"/>
      <c r="GVE24" s="84"/>
      <c r="GVF24" s="84"/>
      <c r="GVG24" s="84"/>
      <c r="GVH24" s="84"/>
      <c r="GVI24" s="84"/>
      <c r="GVJ24" s="84"/>
      <c r="GVK24" s="84"/>
      <c r="GVL24" s="84"/>
      <c r="GVM24" s="84"/>
      <c r="GVN24" s="84"/>
      <c r="GVO24" s="84"/>
      <c r="GVP24" s="84"/>
      <c r="GVQ24" s="84"/>
      <c r="GVR24" s="84"/>
      <c r="GVS24" s="84"/>
      <c r="GVT24" s="84"/>
      <c r="GVU24" s="84"/>
      <c r="GVV24" s="84"/>
      <c r="GVW24" s="84"/>
      <c r="GVX24" s="84"/>
      <c r="GVY24" s="84"/>
      <c r="GVZ24" s="84"/>
      <c r="GWA24" s="84"/>
      <c r="GWB24" s="84"/>
      <c r="GWC24" s="84"/>
      <c r="GWD24" s="84"/>
      <c r="GWE24" s="84"/>
      <c r="GWF24" s="84"/>
      <c r="GWG24" s="84"/>
      <c r="GWH24" s="84"/>
      <c r="GWI24" s="84"/>
      <c r="GWJ24" s="84"/>
      <c r="GWK24" s="84"/>
      <c r="GWL24" s="84"/>
      <c r="GWM24" s="84"/>
      <c r="GWN24" s="84"/>
      <c r="GWO24" s="84"/>
      <c r="GWP24" s="84"/>
      <c r="GWQ24" s="84"/>
      <c r="GWR24" s="84"/>
      <c r="GWS24" s="84"/>
      <c r="GWT24" s="84"/>
      <c r="GWU24" s="84"/>
      <c r="GWV24" s="84"/>
      <c r="GWW24" s="84"/>
      <c r="GWX24" s="84"/>
      <c r="GWY24" s="84"/>
      <c r="GWZ24" s="84"/>
      <c r="GXA24" s="84"/>
      <c r="GXB24" s="84"/>
      <c r="GXC24" s="84"/>
      <c r="GXD24" s="84"/>
      <c r="GXE24" s="84"/>
      <c r="GXF24" s="84"/>
      <c r="GXG24" s="84"/>
      <c r="GXH24" s="84"/>
      <c r="GXI24" s="84"/>
      <c r="GXJ24" s="84"/>
      <c r="GXK24" s="84"/>
      <c r="GXL24" s="84"/>
      <c r="GXM24" s="84"/>
      <c r="GXN24" s="84"/>
      <c r="GXO24" s="84"/>
      <c r="GXP24" s="84"/>
      <c r="GXQ24" s="84"/>
      <c r="GXR24" s="84"/>
      <c r="GXS24" s="84"/>
      <c r="GXT24" s="84"/>
      <c r="GXU24" s="84"/>
      <c r="GXV24" s="84"/>
      <c r="GXW24" s="84"/>
      <c r="GXX24" s="84"/>
      <c r="GXY24" s="84"/>
      <c r="GXZ24" s="84"/>
      <c r="GYA24" s="84"/>
      <c r="GYB24" s="84"/>
      <c r="GYC24" s="84"/>
      <c r="GYD24" s="84"/>
      <c r="GYE24" s="84"/>
      <c r="GYF24" s="84"/>
      <c r="GYG24" s="84"/>
      <c r="GYH24" s="84"/>
      <c r="GYI24" s="84"/>
      <c r="GYJ24" s="84"/>
      <c r="GYK24" s="84"/>
      <c r="GYL24" s="84"/>
      <c r="GYM24" s="84"/>
      <c r="GYN24" s="84"/>
      <c r="GYO24" s="84"/>
      <c r="GYP24" s="84"/>
      <c r="GYQ24" s="84"/>
      <c r="GYR24" s="84"/>
      <c r="GYS24" s="84"/>
      <c r="GYT24" s="84"/>
      <c r="GYU24" s="84"/>
      <c r="GYV24" s="84"/>
      <c r="GYW24" s="84"/>
      <c r="GYX24" s="84"/>
      <c r="GYY24" s="84"/>
      <c r="GYZ24" s="84"/>
      <c r="GZA24" s="84"/>
      <c r="GZB24" s="84"/>
      <c r="GZC24" s="84"/>
      <c r="GZD24" s="84"/>
      <c r="GZE24" s="84"/>
      <c r="GZF24" s="84"/>
      <c r="GZG24" s="84"/>
      <c r="GZH24" s="84"/>
      <c r="GZI24" s="84"/>
      <c r="GZJ24" s="84"/>
      <c r="GZK24" s="84"/>
      <c r="GZL24" s="84"/>
      <c r="GZM24" s="84"/>
      <c r="GZN24" s="84"/>
      <c r="GZO24" s="84"/>
      <c r="GZP24" s="84"/>
      <c r="GZQ24" s="84"/>
      <c r="GZR24" s="84"/>
      <c r="GZS24" s="84"/>
      <c r="GZT24" s="84"/>
      <c r="GZU24" s="84"/>
      <c r="GZV24" s="84"/>
      <c r="GZW24" s="84"/>
      <c r="GZX24" s="84"/>
      <c r="GZY24" s="84"/>
      <c r="GZZ24" s="84"/>
      <c r="HAA24" s="84"/>
      <c r="HAB24" s="84"/>
      <c r="HAC24" s="84"/>
      <c r="HAD24" s="84"/>
      <c r="HAE24" s="84"/>
      <c r="HAF24" s="84"/>
      <c r="HAG24" s="84"/>
      <c r="HAH24" s="84"/>
      <c r="HAI24" s="84"/>
      <c r="HAJ24" s="84"/>
      <c r="HAK24" s="84"/>
      <c r="HAL24" s="84"/>
      <c r="HAM24" s="84"/>
      <c r="HAN24" s="84"/>
      <c r="HAO24" s="84"/>
      <c r="HAP24" s="84"/>
      <c r="HAQ24" s="84"/>
      <c r="HAR24" s="84"/>
      <c r="HAS24" s="84"/>
      <c r="HAT24" s="84"/>
      <c r="HAU24" s="84"/>
      <c r="HAV24" s="84"/>
      <c r="HAW24" s="84"/>
      <c r="HAX24" s="84"/>
      <c r="HAY24" s="84"/>
      <c r="HAZ24" s="84"/>
      <c r="HBA24" s="84"/>
      <c r="HBB24" s="84"/>
      <c r="HBC24" s="84"/>
      <c r="HBD24" s="84"/>
      <c r="HBE24" s="84"/>
      <c r="HBF24" s="84"/>
      <c r="HBG24" s="84"/>
      <c r="HBH24" s="84"/>
      <c r="HBI24" s="84"/>
      <c r="HBJ24" s="84"/>
      <c r="HBK24" s="84"/>
      <c r="HBL24" s="84"/>
      <c r="HBM24" s="84"/>
      <c r="HBN24" s="84"/>
      <c r="HBO24" s="84"/>
      <c r="HBP24" s="84"/>
      <c r="HBQ24" s="84"/>
      <c r="HBR24" s="84"/>
      <c r="HBS24" s="84"/>
      <c r="HBT24" s="84"/>
      <c r="HBU24" s="84"/>
      <c r="HBV24" s="84"/>
      <c r="HBW24" s="84"/>
      <c r="HBX24" s="84"/>
      <c r="HBY24" s="84"/>
      <c r="HBZ24" s="84"/>
      <c r="HCA24" s="84"/>
      <c r="HCB24" s="84"/>
      <c r="HCC24" s="84"/>
      <c r="HCD24" s="84"/>
      <c r="HCE24" s="84"/>
      <c r="HCF24" s="84"/>
      <c r="HCG24" s="84"/>
      <c r="HCH24" s="84"/>
      <c r="HCI24" s="84"/>
      <c r="HCJ24" s="84"/>
      <c r="HCK24" s="84"/>
      <c r="HCL24" s="84"/>
      <c r="HCM24" s="84"/>
      <c r="HCN24" s="84"/>
      <c r="HCO24" s="84"/>
      <c r="HCP24" s="84"/>
      <c r="HCQ24" s="84"/>
      <c r="HCR24" s="84"/>
      <c r="HCS24" s="84"/>
      <c r="HCT24" s="84"/>
      <c r="HCU24" s="84"/>
      <c r="HCV24" s="84"/>
      <c r="HCW24" s="84"/>
      <c r="HCX24" s="84"/>
      <c r="HCY24" s="84"/>
      <c r="HCZ24" s="84"/>
      <c r="HDA24" s="84"/>
      <c r="HDB24" s="84"/>
      <c r="HDC24" s="84"/>
      <c r="HDD24" s="84"/>
      <c r="HDE24" s="84"/>
      <c r="HDF24" s="84"/>
      <c r="HDG24" s="84"/>
      <c r="HDH24" s="84"/>
      <c r="HDI24" s="84"/>
      <c r="HDJ24" s="84"/>
      <c r="HDK24" s="84"/>
      <c r="HDL24" s="84"/>
      <c r="HDM24" s="84"/>
      <c r="HDN24" s="84"/>
      <c r="HDO24" s="84"/>
      <c r="HDP24" s="84"/>
      <c r="HDQ24" s="84"/>
      <c r="HDR24" s="84"/>
      <c r="HDS24" s="84"/>
      <c r="HDT24" s="84"/>
      <c r="HDU24" s="84"/>
      <c r="HDV24" s="84"/>
      <c r="HDW24" s="84"/>
      <c r="HDX24" s="84"/>
      <c r="HDY24" s="84"/>
      <c r="HDZ24" s="84"/>
      <c r="HEA24" s="84"/>
      <c r="HEB24" s="84"/>
      <c r="HEC24" s="84"/>
      <c r="HED24" s="84"/>
      <c r="HEE24" s="84"/>
      <c r="HEF24" s="84"/>
      <c r="HEG24" s="84"/>
      <c r="HEH24" s="84"/>
      <c r="HEI24" s="84"/>
      <c r="HEJ24" s="84"/>
      <c r="HEK24" s="84"/>
      <c r="HEL24" s="84"/>
      <c r="HEM24" s="84"/>
      <c r="HEN24" s="84"/>
      <c r="HEO24" s="84"/>
      <c r="HEP24" s="84"/>
      <c r="HEQ24" s="84"/>
      <c r="HER24" s="84"/>
      <c r="HES24" s="84"/>
      <c r="HET24" s="84"/>
      <c r="HEU24" s="84"/>
      <c r="HEV24" s="84"/>
      <c r="HEW24" s="84"/>
      <c r="HEX24" s="84"/>
      <c r="HEY24" s="84"/>
      <c r="HEZ24" s="84"/>
      <c r="HFA24" s="84"/>
      <c r="HFB24" s="84"/>
      <c r="HFC24" s="84"/>
      <c r="HFD24" s="84"/>
      <c r="HFE24" s="84"/>
      <c r="HFF24" s="84"/>
      <c r="HFG24" s="84"/>
      <c r="HFH24" s="84"/>
      <c r="HFI24" s="84"/>
      <c r="HFJ24" s="84"/>
      <c r="HFK24" s="84"/>
      <c r="HFL24" s="84"/>
      <c r="HFM24" s="84"/>
      <c r="HFN24" s="84"/>
      <c r="HFO24" s="84"/>
      <c r="HFP24" s="84"/>
      <c r="HFQ24" s="84"/>
      <c r="HFR24" s="84"/>
      <c r="HFS24" s="84"/>
      <c r="HFT24" s="84"/>
      <c r="HFU24" s="84"/>
      <c r="HFV24" s="84"/>
      <c r="HFW24" s="84"/>
      <c r="HFX24" s="84"/>
      <c r="HFY24" s="84"/>
      <c r="HFZ24" s="84"/>
      <c r="HGA24" s="84"/>
      <c r="HGB24" s="84"/>
      <c r="HGC24" s="84"/>
      <c r="HGD24" s="84"/>
      <c r="HGE24" s="84"/>
      <c r="HGF24" s="84"/>
      <c r="HGG24" s="84"/>
      <c r="HGH24" s="84"/>
      <c r="HGI24" s="84"/>
      <c r="HGJ24" s="84"/>
      <c r="HGK24" s="84"/>
      <c r="HGL24" s="84"/>
      <c r="HGM24" s="84"/>
      <c r="HGN24" s="84"/>
      <c r="HGO24" s="84"/>
      <c r="HGP24" s="84"/>
      <c r="HGQ24" s="84"/>
      <c r="HGR24" s="84"/>
      <c r="HGS24" s="84"/>
      <c r="HGT24" s="84"/>
      <c r="HGU24" s="84"/>
      <c r="HGV24" s="84"/>
      <c r="HGW24" s="84"/>
      <c r="HGX24" s="84"/>
      <c r="HGY24" s="84"/>
      <c r="HGZ24" s="84"/>
      <c r="HHA24" s="84"/>
      <c r="HHB24" s="84"/>
      <c r="HHC24" s="84"/>
      <c r="HHD24" s="84"/>
      <c r="HHE24" s="84"/>
      <c r="HHF24" s="84"/>
      <c r="HHG24" s="84"/>
      <c r="HHH24" s="84"/>
      <c r="HHI24" s="84"/>
      <c r="HHJ24" s="84"/>
      <c r="HHK24" s="84"/>
      <c r="HHL24" s="84"/>
      <c r="HHM24" s="84"/>
      <c r="HHN24" s="84"/>
      <c r="HHO24" s="84"/>
      <c r="HHP24" s="84"/>
      <c r="HHQ24" s="84"/>
      <c r="HHR24" s="84"/>
      <c r="HHS24" s="84"/>
      <c r="HHT24" s="84"/>
      <c r="HHU24" s="84"/>
      <c r="HHV24" s="84"/>
      <c r="HHW24" s="84"/>
      <c r="HHX24" s="84"/>
      <c r="HHY24" s="84"/>
      <c r="HHZ24" s="84"/>
      <c r="HIA24" s="84"/>
      <c r="HIB24" s="84"/>
      <c r="HIC24" s="84"/>
      <c r="HID24" s="84"/>
      <c r="HIE24" s="84"/>
      <c r="HIF24" s="84"/>
      <c r="HIG24" s="84"/>
      <c r="HIH24" s="84"/>
      <c r="HII24" s="84"/>
      <c r="HIJ24" s="84"/>
      <c r="HIK24" s="84"/>
      <c r="HIL24" s="84"/>
      <c r="HIM24" s="84"/>
      <c r="HIN24" s="84"/>
      <c r="HIO24" s="84"/>
      <c r="HIP24" s="84"/>
      <c r="HIQ24" s="84"/>
      <c r="HIR24" s="84"/>
      <c r="HIS24" s="84"/>
      <c r="HIT24" s="84"/>
      <c r="HIU24" s="84"/>
      <c r="HIV24" s="84"/>
      <c r="HIW24" s="84"/>
      <c r="HIX24" s="84"/>
      <c r="HIY24" s="84"/>
      <c r="HIZ24" s="84"/>
      <c r="HJA24" s="84"/>
      <c r="HJB24" s="84"/>
      <c r="HJC24" s="84"/>
      <c r="HJD24" s="84"/>
      <c r="HJE24" s="84"/>
      <c r="HJF24" s="84"/>
      <c r="HJG24" s="84"/>
      <c r="HJH24" s="84"/>
      <c r="HJI24" s="84"/>
      <c r="HJJ24" s="84"/>
      <c r="HJK24" s="84"/>
      <c r="HJL24" s="84"/>
      <c r="HJM24" s="84"/>
      <c r="HJN24" s="84"/>
      <c r="HJO24" s="84"/>
      <c r="HJP24" s="84"/>
      <c r="HJQ24" s="84"/>
      <c r="HJR24" s="84"/>
      <c r="HJS24" s="84"/>
      <c r="HJT24" s="84"/>
      <c r="HJU24" s="84"/>
      <c r="HJV24" s="84"/>
      <c r="HJW24" s="84"/>
      <c r="HJX24" s="84"/>
      <c r="HJY24" s="84"/>
      <c r="HJZ24" s="84"/>
      <c r="HKA24" s="84"/>
      <c r="HKB24" s="84"/>
      <c r="HKC24" s="84"/>
      <c r="HKD24" s="84"/>
      <c r="HKE24" s="84"/>
      <c r="HKF24" s="84"/>
      <c r="HKG24" s="84"/>
      <c r="HKH24" s="84"/>
      <c r="HKI24" s="84"/>
      <c r="HKJ24" s="84"/>
      <c r="HKK24" s="84"/>
      <c r="HKL24" s="84"/>
      <c r="HKM24" s="84"/>
      <c r="HKN24" s="84"/>
      <c r="HKO24" s="84"/>
      <c r="HKP24" s="84"/>
      <c r="HKQ24" s="84"/>
      <c r="HKR24" s="84"/>
      <c r="HKS24" s="84"/>
      <c r="HKT24" s="84"/>
      <c r="HKU24" s="84"/>
      <c r="HKV24" s="84"/>
      <c r="HKW24" s="84"/>
      <c r="HKX24" s="84"/>
      <c r="HKY24" s="84"/>
      <c r="HKZ24" s="84"/>
      <c r="HLA24" s="84"/>
      <c r="HLB24" s="84"/>
      <c r="HLC24" s="84"/>
      <c r="HLD24" s="84"/>
      <c r="HLE24" s="84"/>
      <c r="HLF24" s="84"/>
      <c r="HLG24" s="84"/>
      <c r="HLH24" s="84"/>
      <c r="HLI24" s="84"/>
      <c r="HLJ24" s="84"/>
      <c r="HLK24" s="84"/>
      <c r="HLL24" s="84"/>
      <c r="HLM24" s="84"/>
      <c r="HLN24" s="84"/>
      <c r="HLO24" s="84"/>
      <c r="HLP24" s="84"/>
      <c r="HLQ24" s="84"/>
      <c r="HLR24" s="84"/>
      <c r="HLS24" s="84"/>
      <c r="HLT24" s="84"/>
      <c r="HLU24" s="84"/>
      <c r="HLV24" s="84"/>
      <c r="HLW24" s="84"/>
      <c r="HLX24" s="84"/>
      <c r="HLY24" s="84"/>
      <c r="HLZ24" s="84"/>
      <c r="HMA24" s="84"/>
      <c r="HMB24" s="84"/>
      <c r="HMC24" s="84"/>
      <c r="HMD24" s="84"/>
      <c r="HME24" s="84"/>
      <c r="HMF24" s="84"/>
      <c r="HMG24" s="84"/>
      <c r="HMH24" s="84"/>
      <c r="HMI24" s="84"/>
      <c r="HMJ24" s="84"/>
      <c r="HMK24" s="84"/>
      <c r="HML24" s="84"/>
      <c r="HMM24" s="84"/>
      <c r="HMN24" s="84"/>
      <c r="HMO24" s="84"/>
      <c r="HMP24" s="84"/>
      <c r="HMQ24" s="84"/>
      <c r="HMR24" s="84"/>
      <c r="HMS24" s="84"/>
      <c r="HMT24" s="84"/>
      <c r="HMU24" s="84"/>
      <c r="HMV24" s="84"/>
      <c r="HMW24" s="84"/>
      <c r="HMX24" s="84"/>
      <c r="HMY24" s="84"/>
      <c r="HMZ24" s="84"/>
      <c r="HNA24" s="84"/>
      <c r="HNB24" s="84"/>
      <c r="HNC24" s="84"/>
      <c r="HND24" s="84"/>
      <c r="HNE24" s="84"/>
      <c r="HNF24" s="84"/>
      <c r="HNG24" s="84"/>
      <c r="HNH24" s="84"/>
      <c r="HNI24" s="84"/>
      <c r="HNJ24" s="84"/>
      <c r="HNK24" s="84"/>
      <c r="HNL24" s="84"/>
      <c r="HNM24" s="84"/>
      <c r="HNN24" s="84"/>
      <c r="HNO24" s="84"/>
      <c r="HNP24" s="84"/>
      <c r="HNQ24" s="84"/>
      <c r="HNR24" s="84"/>
      <c r="HNS24" s="84"/>
      <c r="HNT24" s="84"/>
      <c r="HNU24" s="84"/>
      <c r="HNV24" s="84"/>
      <c r="HNW24" s="84"/>
      <c r="HNX24" s="84"/>
      <c r="HNY24" s="84"/>
      <c r="HNZ24" s="84"/>
      <c r="HOA24" s="84"/>
      <c r="HOB24" s="84"/>
      <c r="HOC24" s="84"/>
      <c r="HOD24" s="84"/>
      <c r="HOE24" s="84"/>
      <c r="HOF24" s="84"/>
      <c r="HOG24" s="84"/>
      <c r="HOH24" s="84"/>
      <c r="HOI24" s="84"/>
      <c r="HOJ24" s="84"/>
      <c r="HOK24" s="84"/>
      <c r="HOL24" s="84"/>
      <c r="HOM24" s="84"/>
      <c r="HON24" s="84"/>
      <c r="HOO24" s="84"/>
      <c r="HOP24" s="84"/>
      <c r="HOQ24" s="84"/>
      <c r="HOR24" s="84"/>
      <c r="HOS24" s="84"/>
      <c r="HOT24" s="84"/>
      <c r="HOU24" s="84"/>
      <c r="HOV24" s="84"/>
      <c r="HOW24" s="84"/>
      <c r="HOX24" s="84"/>
      <c r="HOY24" s="84"/>
      <c r="HOZ24" s="84"/>
      <c r="HPA24" s="84"/>
      <c r="HPB24" s="84"/>
      <c r="HPC24" s="84"/>
      <c r="HPD24" s="84"/>
      <c r="HPE24" s="84"/>
      <c r="HPF24" s="84"/>
      <c r="HPG24" s="84"/>
      <c r="HPH24" s="84"/>
      <c r="HPI24" s="84"/>
      <c r="HPJ24" s="84"/>
      <c r="HPK24" s="84"/>
      <c r="HPL24" s="84"/>
      <c r="HPM24" s="84"/>
      <c r="HPN24" s="84"/>
      <c r="HPO24" s="84"/>
      <c r="HPP24" s="84"/>
      <c r="HPQ24" s="84"/>
      <c r="HPR24" s="84"/>
      <c r="HPS24" s="84"/>
      <c r="HPT24" s="84"/>
      <c r="HPU24" s="84"/>
      <c r="HPV24" s="84"/>
      <c r="HPW24" s="84"/>
      <c r="HPX24" s="84"/>
      <c r="HPY24" s="84"/>
      <c r="HPZ24" s="84"/>
      <c r="HQA24" s="84"/>
      <c r="HQB24" s="84"/>
      <c r="HQC24" s="84"/>
      <c r="HQD24" s="84"/>
      <c r="HQE24" s="84"/>
      <c r="HQF24" s="84"/>
      <c r="HQG24" s="84"/>
      <c r="HQH24" s="84"/>
      <c r="HQI24" s="84"/>
      <c r="HQJ24" s="84"/>
      <c r="HQK24" s="84"/>
      <c r="HQL24" s="84"/>
      <c r="HQM24" s="84"/>
      <c r="HQN24" s="84"/>
      <c r="HQO24" s="84"/>
      <c r="HQP24" s="84"/>
      <c r="HQQ24" s="84"/>
      <c r="HQR24" s="84"/>
      <c r="HQS24" s="84"/>
      <c r="HQT24" s="84"/>
      <c r="HQU24" s="84"/>
      <c r="HQV24" s="84"/>
      <c r="HQW24" s="84"/>
      <c r="HQX24" s="84"/>
      <c r="HQY24" s="84"/>
      <c r="HQZ24" s="84"/>
      <c r="HRA24" s="84"/>
      <c r="HRB24" s="84"/>
      <c r="HRC24" s="84"/>
      <c r="HRD24" s="84"/>
      <c r="HRE24" s="84"/>
      <c r="HRF24" s="84"/>
      <c r="HRG24" s="84"/>
      <c r="HRH24" s="84"/>
      <c r="HRI24" s="84"/>
      <c r="HRJ24" s="84"/>
      <c r="HRK24" s="84"/>
      <c r="HRL24" s="84"/>
      <c r="HRM24" s="84"/>
      <c r="HRN24" s="84"/>
      <c r="HRO24" s="84"/>
      <c r="HRP24" s="84"/>
      <c r="HRQ24" s="84"/>
      <c r="HRR24" s="84"/>
      <c r="HRS24" s="84"/>
      <c r="HRT24" s="84"/>
      <c r="HRU24" s="84"/>
      <c r="HRV24" s="84"/>
      <c r="HRW24" s="84"/>
      <c r="HRX24" s="84"/>
      <c r="HRY24" s="84"/>
      <c r="HRZ24" s="84"/>
      <c r="HSA24" s="84"/>
      <c r="HSB24" s="84"/>
      <c r="HSC24" s="84"/>
      <c r="HSD24" s="84"/>
      <c r="HSE24" s="84"/>
      <c r="HSF24" s="84"/>
      <c r="HSG24" s="84"/>
      <c r="HSH24" s="84"/>
      <c r="HSI24" s="84"/>
      <c r="HSJ24" s="84"/>
      <c r="HSK24" s="84"/>
      <c r="HSL24" s="84"/>
      <c r="HSM24" s="84"/>
      <c r="HSN24" s="84"/>
      <c r="HSO24" s="84"/>
      <c r="HSP24" s="84"/>
      <c r="HSQ24" s="84"/>
      <c r="HSR24" s="84"/>
      <c r="HSS24" s="84"/>
      <c r="HST24" s="84"/>
      <c r="HSU24" s="84"/>
      <c r="HSV24" s="84"/>
      <c r="HSW24" s="84"/>
      <c r="HSX24" s="84"/>
      <c r="HSY24" s="84"/>
      <c r="HSZ24" s="84"/>
      <c r="HTA24" s="84"/>
      <c r="HTB24" s="84"/>
      <c r="HTC24" s="84"/>
      <c r="HTD24" s="84"/>
      <c r="HTE24" s="84"/>
      <c r="HTF24" s="84"/>
      <c r="HTG24" s="84"/>
      <c r="HTH24" s="84"/>
      <c r="HTI24" s="84"/>
      <c r="HTJ24" s="84"/>
      <c r="HTK24" s="84"/>
      <c r="HTL24" s="84"/>
      <c r="HTM24" s="84"/>
      <c r="HTN24" s="84"/>
      <c r="HTO24" s="84"/>
      <c r="HTP24" s="84"/>
      <c r="HTQ24" s="84"/>
      <c r="HTR24" s="84"/>
      <c r="HTS24" s="84"/>
      <c r="HTT24" s="84"/>
      <c r="HTU24" s="84"/>
      <c r="HTV24" s="84"/>
      <c r="HTW24" s="84"/>
      <c r="HTX24" s="84"/>
      <c r="HTY24" s="84"/>
      <c r="HTZ24" s="84"/>
      <c r="HUA24" s="84"/>
      <c r="HUB24" s="84"/>
      <c r="HUC24" s="84"/>
      <c r="HUD24" s="84"/>
      <c r="HUE24" s="84"/>
      <c r="HUF24" s="84"/>
      <c r="HUG24" s="84"/>
      <c r="HUH24" s="84"/>
      <c r="HUI24" s="84"/>
      <c r="HUJ24" s="84"/>
      <c r="HUK24" s="84"/>
      <c r="HUL24" s="84"/>
      <c r="HUM24" s="84"/>
      <c r="HUN24" s="84"/>
      <c r="HUO24" s="84"/>
      <c r="HUP24" s="84"/>
      <c r="HUQ24" s="84"/>
      <c r="HUR24" s="84"/>
      <c r="HUS24" s="84"/>
      <c r="HUT24" s="84"/>
      <c r="HUU24" s="84"/>
      <c r="HUV24" s="84"/>
      <c r="HUW24" s="84"/>
      <c r="HUX24" s="84"/>
      <c r="HUY24" s="84"/>
      <c r="HUZ24" s="84"/>
      <c r="HVA24" s="84"/>
      <c r="HVB24" s="84"/>
      <c r="HVC24" s="84"/>
      <c r="HVD24" s="84"/>
      <c r="HVE24" s="84"/>
      <c r="HVF24" s="84"/>
      <c r="HVG24" s="84"/>
      <c r="HVH24" s="84"/>
      <c r="HVI24" s="84"/>
      <c r="HVJ24" s="84"/>
      <c r="HVK24" s="84"/>
      <c r="HVL24" s="84"/>
      <c r="HVM24" s="84"/>
      <c r="HVN24" s="84"/>
      <c r="HVO24" s="84"/>
      <c r="HVP24" s="84"/>
      <c r="HVQ24" s="84"/>
      <c r="HVR24" s="84"/>
      <c r="HVS24" s="84"/>
      <c r="HVT24" s="84"/>
      <c r="HVU24" s="84"/>
      <c r="HVV24" s="84"/>
      <c r="HVW24" s="84"/>
      <c r="HVX24" s="84"/>
      <c r="HVY24" s="84"/>
      <c r="HVZ24" s="84"/>
      <c r="HWA24" s="84"/>
      <c r="HWB24" s="84"/>
      <c r="HWC24" s="84"/>
      <c r="HWD24" s="84"/>
      <c r="HWE24" s="84"/>
      <c r="HWF24" s="84"/>
      <c r="HWG24" s="84"/>
      <c r="HWH24" s="84"/>
      <c r="HWI24" s="84"/>
      <c r="HWJ24" s="84"/>
      <c r="HWK24" s="84"/>
      <c r="HWL24" s="84"/>
      <c r="HWM24" s="84"/>
      <c r="HWN24" s="84"/>
      <c r="HWO24" s="84"/>
      <c r="HWP24" s="84"/>
      <c r="HWQ24" s="84"/>
      <c r="HWR24" s="84"/>
      <c r="HWS24" s="84"/>
      <c r="HWT24" s="84"/>
      <c r="HWU24" s="84"/>
      <c r="HWV24" s="84"/>
      <c r="HWW24" s="84"/>
      <c r="HWX24" s="84"/>
      <c r="HWY24" s="84"/>
      <c r="HWZ24" s="84"/>
      <c r="HXA24" s="84"/>
      <c r="HXB24" s="84"/>
      <c r="HXC24" s="84"/>
      <c r="HXD24" s="84"/>
      <c r="HXE24" s="84"/>
      <c r="HXF24" s="84"/>
      <c r="HXG24" s="84"/>
      <c r="HXH24" s="84"/>
      <c r="HXI24" s="84"/>
      <c r="HXJ24" s="84"/>
      <c r="HXK24" s="84"/>
      <c r="HXL24" s="84"/>
      <c r="HXM24" s="84"/>
      <c r="HXN24" s="84"/>
      <c r="HXO24" s="84"/>
      <c r="HXP24" s="84"/>
      <c r="HXQ24" s="84"/>
      <c r="HXR24" s="84"/>
      <c r="HXS24" s="84"/>
      <c r="HXT24" s="84"/>
      <c r="HXU24" s="84"/>
      <c r="HXV24" s="84"/>
      <c r="HXW24" s="84"/>
      <c r="HXX24" s="84"/>
      <c r="HXY24" s="84"/>
      <c r="HXZ24" s="84"/>
      <c r="HYA24" s="84"/>
      <c r="HYB24" s="84"/>
      <c r="HYC24" s="84"/>
      <c r="HYD24" s="84"/>
      <c r="HYE24" s="84"/>
      <c r="HYF24" s="84"/>
      <c r="HYG24" s="84"/>
      <c r="HYH24" s="84"/>
      <c r="HYI24" s="84"/>
      <c r="HYJ24" s="84"/>
      <c r="HYK24" s="84"/>
      <c r="HYL24" s="84"/>
      <c r="HYM24" s="84"/>
      <c r="HYN24" s="84"/>
      <c r="HYO24" s="84"/>
      <c r="HYP24" s="84"/>
      <c r="HYQ24" s="84"/>
      <c r="HYR24" s="84"/>
      <c r="HYS24" s="84"/>
      <c r="HYT24" s="84"/>
      <c r="HYU24" s="84"/>
      <c r="HYV24" s="84"/>
      <c r="HYW24" s="84"/>
      <c r="HYX24" s="84"/>
      <c r="HYY24" s="84"/>
      <c r="HYZ24" s="84"/>
      <c r="HZA24" s="84"/>
      <c r="HZB24" s="84"/>
      <c r="HZC24" s="84"/>
      <c r="HZD24" s="84"/>
      <c r="HZE24" s="84"/>
      <c r="HZF24" s="84"/>
      <c r="HZG24" s="84"/>
      <c r="HZH24" s="84"/>
      <c r="HZI24" s="84"/>
      <c r="HZJ24" s="84"/>
      <c r="HZK24" s="84"/>
      <c r="HZL24" s="84"/>
      <c r="HZM24" s="84"/>
      <c r="HZN24" s="84"/>
      <c r="HZO24" s="84"/>
      <c r="HZP24" s="84"/>
      <c r="HZQ24" s="84"/>
      <c r="HZR24" s="84"/>
      <c r="HZS24" s="84"/>
      <c r="HZT24" s="84"/>
      <c r="HZU24" s="84"/>
      <c r="HZV24" s="84"/>
      <c r="HZW24" s="84"/>
      <c r="HZX24" s="84"/>
      <c r="HZY24" s="84"/>
      <c r="HZZ24" s="84"/>
      <c r="IAA24" s="84"/>
      <c r="IAB24" s="84"/>
      <c r="IAC24" s="84"/>
      <c r="IAD24" s="84"/>
      <c r="IAE24" s="84"/>
      <c r="IAF24" s="84"/>
      <c r="IAG24" s="84"/>
      <c r="IAH24" s="84"/>
      <c r="IAI24" s="84"/>
      <c r="IAJ24" s="84"/>
      <c r="IAK24" s="84"/>
      <c r="IAL24" s="84"/>
      <c r="IAM24" s="84"/>
      <c r="IAN24" s="84"/>
      <c r="IAO24" s="84"/>
      <c r="IAP24" s="84"/>
      <c r="IAQ24" s="84"/>
      <c r="IAR24" s="84"/>
      <c r="IAS24" s="84"/>
      <c r="IAT24" s="84"/>
      <c r="IAU24" s="84"/>
      <c r="IAV24" s="84"/>
      <c r="IAW24" s="84"/>
      <c r="IAX24" s="84"/>
      <c r="IAY24" s="84"/>
      <c r="IAZ24" s="84"/>
      <c r="IBA24" s="84"/>
      <c r="IBB24" s="84"/>
      <c r="IBC24" s="84"/>
      <c r="IBD24" s="84"/>
      <c r="IBE24" s="84"/>
      <c r="IBF24" s="84"/>
      <c r="IBG24" s="84"/>
      <c r="IBH24" s="84"/>
      <c r="IBI24" s="84"/>
      <c r="IBJ24" s="84"/>
      <c r="IBK24" s="84"/>
      <c r="IBL24" s="84"/>
      <c r="IBM24" s="84"/>
      <c r="IBN24" s="84"/>
      <c r="IBO24" s="84"/>
      <c r="IBP24" s="84"/>
      <c r="IBQ24" s="84"/>
      <c r="IBR24" s="84"/>
      <c r="IBS24" s="84"/>
      <c r="IBT24" s="84"/>
      <c r="IBU24" s="84"/>
      <c r="IBV24" s="84"/>
      <c r="IBW24" s="84"/>
      <c r="IBX24" s="84"/>
      <c r="IBY24" s="84"/>
      <c r="IBZ24" s="84"/>
      <c r="ICA24" s="84"/>
      <c r="ICB24" s="84"/>
      <c r="ICC24" s="84"/>
      <c r="ICD24" s="84"/>
      <c r="ICE24" s="84"/>
      <c r="ICF24" s="84"/>
      <c r="ICG24" s="84"/>
      <c r="ICH24" s="84"/>
      <c r="ICI24" s="84"/>
      <c r="ICJ24" s="84"/>
      <c r="ICK24" s="84"/>
      <c r="ICL24" s="84"/>
      <c r="ICM24" s="84"/>
      <c r="ICN24" s="84"/>
      <c r="ICO24" s="84"/>
      <c r="ICP24" s="84"/>
      <c r="ICQ24" s="84"/>
      <c r="ICR24" s="84"/>
      <c r="ICS24" s="84"/>
      <c r="ICT24" s="84"/>
      <c r="ICU24" s="84"/>
      <c r="ICV24" s="84"/>
      <c r="ICW24" s="84"/>
      <c r="ICX24" s="84"/>
      <c r="ICY24" s="84"/>
      <c r="ICZ24" s="84"/>
      <c r="IDA24" s="84"/>
      <c r="IDB24" s="84"/>
      <c r="IDC24" s="84"/>
      <c r="IDD24" s="84"/>
      <c r="IDE24" s="84"/>
      <c r="IDF24" s="84"/>
      <c r="IDG24" s="84"/>
      <c r="IDH24" s="84"/>
      <c r="IDI24" s="84"/>
      <c r="IDJ24" s="84"/>
      <c r="IDK24" s="84"/>
      <c r="IDL24" s="84"/>
      <c r="IDM24" s="84"/>
      <c r="IDN24" s="84"/>
      <c r="IDO24" s="84"/>
      <c r="IDP24" s="84"/>
      <c r="IDQ24" s="84"/>
      <c r="IDR24" s="84"/>
      <c r="IDS24" s="84"/>
      <c r="IDT24" s="84"/>
      <c r="IDU24" s="84"/>
      <c r="IDV24" s="84"/>
      <c r="IDW24" s="84"/>
      <c r="IDX24" s="84"/>
      <c r="IDY24" s="84"/>
      <c r="IDZ24" s="84"/>
      <c r="IEA24" s="84"/>
      <c r="IEB24" s="84"/>
      <c r="IEC24" s="84"/>
      <c r="IED24" s="84"/>
      <c r="IEE24" s="84"/>
      <c r="IEF24" s="84"/>
      <c r="IEG24" s="84"/>
      <c r="IEH24" s="84"/>
      <c r="IEI24" s="84"/>
      <c r="IEJ24" s="84"/>
      <c r="IEK24" s="84"/>
      <c r="IEL24" s="84"/>
      <c r="IEM24" s="84"/>
      <c r="IEN24" s="84"/>
      <c r="IEO24" s="84"/>
      <c r="IEP24" s="84"/>
      <c r="IEQ24" s="84"/>
      <c r="IER24" s="84"/>
      <c r="IES24" s="84"/>
      <c r="IET24" s="84"/>
      <c r="IEU24" s="84"/>
      <c r="IEV24" s="84"/>
      <c r="IEW24" s="84"/>
      <c r="IEX24" s="84"/>
      <c r="IEY24" s="84"/>
      <c r="IEZ24" s="84"/>
      <c r="IFA24" s="84"/>
      <c r="IFB24" s="84"/>
      <c r="IFC24" s="84"/>
      <c r="IFD24" s="84"/>
      <c r="IFE24" s="84"/>
      <c r="IFF24" s="84"/>
      <c r="IFG24" s="84"/>
      <c r="IFH24" s="84"/>
      <c r="IFI24" s="84"/>
      <c r="IFJ24" s="84"/>
      <c r="IFK24" s="84"/>
      <c r="IFL24" s="84"/>
      <c r="IFM24" s="84"/>
      <c r="IFN24" s="84"/>
      <c r="IFO24" s="84"/>
      <c r="IFP24" s="84"/>
      <c r="IFQ24" s="84"/>
      <c r="IFR24" s="84"/>
      <c r="IFS24" s="84"/>
      <c r="IFT24" s="84"/>
      <c r="IFU24" s="84"/>
      <c r="IFV24" s="84"/>
      <c r="IFW24" s="84"/>
      <c r="IFX24" s="84"/>
      <c r="IFY24" s="84"/>
      <c r="IFZ24" s="84"/>
      <c r="IGA24" s="84"/>
      <c r="IGB24" s="84"/>
      <c r="IGC24" s="84"/>
      <c r="IGD24" s="84"/>
      <c r="IGE24" s="84"/>
      <c r="IGF24" s="84"/>
      <c r="IGG24" s="84"/>
      <c r="IGH24" s="84"/>
      <c r="IGI24" s="84"/>
      <c r="IGJ24" s="84"/>
      <c r="IGK24" s="84"/>
      <c r="IGL24" s="84"/>
      <c r="IGM24" s="84"/>
      <c r="IGN24" s="84"/>
      <c r="IGO24" s="84"/>
      <c r="IGP24" s="84"/>
      <c r="IGQ24" s="84"/>
      <c r="IGR24" s="84"/>
      <c r="IGS24" s="84"/>
      <c r="IGT24" s="84"/>
      <c r="IGU24" s="84"/>
      <c r="IGV24" s="84"/>
      <c r="IGW24" s="84"/>
      <c r="IGX24" s="84"/>
      <c r="IGY24" s="84"/>
      <c r="IGZ24" s="84"/>
      <c r="IHA24" s="84"/>
      <c r="IHB24" s="84"/>
      <c r="IHC24" s="84"/>
      <c r="IHD24" s="84"/>
      <c r="IHE24" s="84"/>
      <c r="IHF24" s="84"/>
      <c r="IHG24" s="84"/>
      <c r="IHH24" s="84"/>
      <c r="IHI24" s="84"/>
      <c r="IHJ24" s="84"/>
      <c r="IHK24" s="84"/>
      <c r="IHL24" s="84"/>
      <c r="IHM24" s="84"/>
      <c r="IHN24" s="84"/>
      <c r="IHO24" s="84"/>
      <c r="IHP24" s="84"/>
      <c r="IHQ24" s="84"/>
      <c r="IHR24" s="84"/>
      <c r="IHS24" s="84"/>
      <c r="IHT24" s="84"/>
      <c r="IHU24" s="84"/>
      <c r="IHV24" s="84"/>
      <c r="IHW24" s="84"/>
      <c r="IHX24" s="84"/>
      <c r="IHY24" s="84"/>
      <c r="IHZ24" s="84"/>
      <c r="IIA24" s="84"/>
      <c r="IIB24" s="84"/>
      <c r="IIC24" s="84"/>
      <c r="IID24" s="84"/>
      <c r="IIE24" s="84"/>
      <c r="IIF24" s="84"/>
      <c r="IIG24" s="84"/>
      <c r="IIH24" s="84"/>
      <c r="III24" s="84"/>
      <c r="IIJ24" s="84"/>
      <c r="IIK24" s="84"/>
      <c r="IIL24" s="84"/>
      <c r="IIM24" s="84"/>
      <c r="IIN24" s="84"/>
      <c r="IIO24" s="84"/>
      <c r="IIP24" s="84"/>
      <c r="IIQ24" s="84"/>
      <c r="IIR24" s="84"/>
      <c r="IIS24" s="84"/>
      <c r="IIT24" s="84"/>
      <c r="IIU24" s="84"/>
      <c r="IIV24" s="84"/>
      <c r="IIW24" s="84"/>
      <c r="IIX24" s="84"/>
      <c r="IIY24" s="84"/>
      <c r="IIZ24" s="84"/>
      <c r="IJA24" s="84"/>
      <c r="IJB24" s="84"/>
      <c r="IJC24" s="84"/>
      <c r="IJD24" s="84"/>
      <c r="IJE24" s="84"/>
      <c r="IJF24" s="84"/>
      <c r="IJG24" s="84"/>
      <c r="IJH24" s="84"/>
      <c r="IJI24" s="84"/>
      <c r="IJJ24" s="84"/>
      <c r="IJK24" s="84"/>
      <c r="IJL24" s="84"/>
      <c r="IJM24" s="84"/>
      <c r="IJN24" s="84"/>
      <c r="IJO24" s="84"/>
      <c r="IJP24" s="84"/>
      <c r="IJQ24" s="84"/>
      <c r="IJR24" s="84"/>
      <c r="IJS24" s="84"/>
      <c r="IJT24" s="84"/>
      <c r="IJU24" s="84"/>
      <c r="IJV24" s="84"/>
      <c r="IJW24" s="84"/>
      <c r="IJX24" s="84"/>
      <c r="IJY24" s="84"/>
      <c r="IJZ24" s="84"/>
      <c r="IKA24" s="84"/>
      <c r="IKB24" s="84"/>
      <c r="IKC24" s="84"/>
      <c r="IKD24" s="84"/>
      <c r="IKE24" s="84"/>
      <c r="IKF24" s="84"/>
      <c r="IKG24" s="84"/>
      <c r="IKH24" s="84"/>
      <c r="IKI24" s="84"/>
      <c r="IKJ24" s="84"/>
      <c r="IKK24" s="84"/>
      <c r="IKL24" s="84"/>
      <c r="IKM24" s="84"/>
      <c r="IKN24" s="84"/>
      <c r="IKO24" s="84"/>
      <c r="IKP24" s="84"/>
      <c r="IKQ24" s="84"/>
      <c r="IKR24" s="84"/>
      <c r="IKS24" s="84"/>
      <c r="IKT24" s="84"/>
      <c r="IKU24" s="84"/>
      <c r="IKV24" s="84"/>
      <c r="IKW24" s="84"/>
      <c r="IKX24" s="84"/>
      <c r="IKY24" s="84"/>
      <c r="IKZ24" s="84"/>
      <c r="ILA24" s="84"/>
      <c r="ILB24" s="84"/>
      <c r="ILC24" s="84"/>
      <c r="ILD24" s="84"/>
      <c r="ILE24" s="84"/>
      <c r="ILF24" s="84"/>
      <c r="ILG24" s="84"/>
      <c r="ILH24" s="84"/>
      <c r="ILI24" s="84"/>
      <c r="ILJ24" s="84"/>
      <c r="ILK24" s="84"/>
      <c r="ILL24" s="84"/>
      <c r="ILM24" s="84"/>
      <c r="ILN24" s="84"/>
      <c r="ILO24" s="84"/>
      <c r="ILP24" s="84"/>
      <c r="ILQ24" s="84"/>
      <c r="ILR24" s="84"/>
      <c r="ILS24" s="84"/>
      <c r="ILT24" s="84"/>
      <c r="ILU24" s="84"/>
      <c r="ILV24" s="84"/>
      <c r="ILW24" s="84"/>
      <c r="ILX24" s="84"/>
      <c r="ILY24" s="84"/>
      <c r="ILZ24" s="84"/>
      <c r="IMA24" s="84"/>
      <c r="IMB24" s="84"/>
      <c r="IMC24" s="84"/>
      <c r="IMD24" s="84"/>
      <c r="IME24" s="84"/>
      <c r="IMF24" s="84"/>
      <c r="IMG24" s="84"/>
      <c r="IMH24" s="84"/>
      <c r="IMI24" s="84"/>
      <c r="IMJ24" s="84"/>
      <c r="IMK24" s="84"/>
      <c r="IML24" s="84"/>
      <c r="IMM24" s="84"/>
      <c r="IMN24" s="84"/>
      <c r="IMO24" s="84"/>
      <c r="IMP24" s="84"/>
      <c r="IMQ24" s="84"/>
      <c r="IMR24" s="84"/>
      <c r="IMS24" s="84"/>
      <c r="IMT24" s="84"/>
      <c r="IMU24" s="84"/>
      <c r="IMV24" s="84"/>
      <c r="IMW24" s="84"/>
      <c r="IMX24" s="84"/>
      <c r="IMY24" s="84"/>
      <c r="IMZ24" s="84"/>
      <c r="INA24" s="84"/>
      <c r="INB24" s="84"/>
      <c r="INC24" s="84"/>
      <c r="IND24" s="84"/>
      <c r="INE24" s="84"/>
      <c r="INF24" s="84"/>
      <c r="ING24" s="84"/>
      <c r="INH24" s="84"/>
      <c r="INI24" s="84"/>
      <c r="INJ24" s="84"/>
      <c r="INK24" s="84"/>
      <c r="INL24" s="84"/>
      <c r="INM24" s="84"/>
      <c r="INN24" s="84"/>
      <c r="INO24" s="84"/>
      <c r="INP24" s="84"/>
      <c r="INQ24" s="84"/>
      <c r="INR24" s="84"/>
      <c r="INS24" s="84"/>
      <c r="INT24" s="84"/>
      <c r="INU24" s="84"/>
      <c r="INV24" s="84"/>
      <c r="INW24" s="84"/>
      <c r="INX24" s="84"/>
      <c r="INY24" s="84"/>
      <c r="INZ24" s="84"/>
      <c r="IOA24" s="84"/>
      <c r="IOB24" s="84"/>
      <c r="IOC24" s="84"/>
      <c r="IOD24" s="84"/>
      <c r="IOE24" s="84"/>
      <c r="IOF24" s="84"/>
      <c r="IOG24" s="84"/>
      <c r="IOH24" s="84"/>
      <c r="IOI24" s="84"/>
      <c r="IOJ24" s="84"/>
      <c r="IOK24" s="84"/>
      <c r="IOL24" s="84"/>
      <c r="IOM24" s="84"/>
      <c r="ION24" s="84"/>
      <c r="IOO24" s="84"/>
      <c r="IOP24" s="84"/>
      <c r="IOQ24" s="84"/>
      <c r="IOR24" s="84"/>
      <c r="IOS24" s="84"/>
      <c r="IOT24" s="84"/>
      <c r="IOU24" s="84"/>
      <c r="IOV24" s="84"/>
      <c r="IOW24" s="84"/>
      <c r="IOX24" s="84"/>
      <c r="IOY24" s="84"/>
      <c r="IOZ24" s="84"/>
      <c r="IPA24" s="84"/>
      <c r="IPB24" s="84"/>
      <c r="IPC24" s="84"/>
      <c r="IPD24" s="84"/>
      <c r="IPE24" s="84"/>
      <c r="IPF24" s="84"/>
      <c r="IPG24" s="84"/>
      <c r="IPH24" s="84"/>
      <c r="IPI24" s="84"/>
      <c r="IPJ24" s="84"/>
      <c r="IPK24" s="84"/>
      <c r="IPL24" s="84"/>
      <c r="IPM24" s="84"/>
      <c r="IPN24" s="84"/>
      <c r="IPO24" s="84"/>
      <c r="IPP24" s="84"/>
      <c r="IPQ24" s="84"/>
      <c r="IPR24" s="84"/>
      <c r="IPS24" s="84"/>
      <c r="IPT24" s="84"/>
      <c r="IPU24" s="84"/>
      <c r="IPV24" s="84"/>
      <c r="IPW24" s="84"/>
      <c r="IPX24" s="84"/>
      <c r="IPY24" s="84"/>
      <c r="IPZ24" s="84"/>
      <c r="IQA24" s="84"/>
      <c r="IQB24" s="84"/>
      <c r="IQC24" s="84"/>
      <c r="IQD24" s="84"/>
      <c r="IQE24" s="84"/>
      <c r="IQF24" s="84"/>
      <c r="IQG24" s="84"/>
      <c r="IQH24" s="84"/>
      <c r="IQI24" s="84"/>
      <c r="IQJ24" s="84"/>
      <c r="IQK24" s="84"/>
      <c r="IQL24" s="84"/>
      <c r="IQM24" s="84"/>
      <c r="IQN24" s="84"/>
      <c r="IQO24" s="84"/>
      <c r="IQP24" s="84"/>
      <c r="IQQ24" s="84"/>
      <c r="IQR24" s="84"/>
      <c r="IQS24" s="84"/>
      <c r="IQT24" s="84"/>
      <c r="IQU24" s="84"/>
      <c r="IQV24" s="84"/>
      <c r="IQW24" s="84"/>
      <c r="IQX24" s="84"/>
      <c r="IQY24" s="84"/>
      <c r="IQZ24" s="84"/>
      <c r="IRA24" s="84"/>
      <c r="IRB24" s="84"/>
      <c r="IRC24" s="84"/>
      <c r="IRD24" s="84"/>
      <c r="IRE24" s="84"/>
      <c r="IRF24" s="84"/>
      <c r="IRG24" s="84"/>
      <c r="IRH24" s="84"/>
      <c r="IRI24" s="84"/>
      <c r="IRJ24" s="84"/>
      <c r="IRK24" s="84"/>
      <c r="IRL24" s="84"/>
      <c r="IRM24" s="84"/>
      <c r="IRN24" s="84"/>
      <c r="IRO24" s="84"/>
      <c r="IRP24" s="84"/>
      <c r="IRQ24" s="84"/>
      <c r="IRR24" s="84"/>
      <c r="IRS24" s="84"/>
      <c r="IRT24" s="84"/>
      <c r="IRU24" s="84"/>
      <c r="IRV24" s="84"/>
      <c r="IRW24" s="84"/>
      <c r="IRX24" s="84"/>
      <c r="IRY24" s="84"/>
      <c r="IRZ24" s="84"/>
      <c r="ISA24" s="84"/>
      <c r="ISB24" s="84"/>
      <c r="ISC24" s="84"/>
      <c r="ISD24" s="84"/>
      <c r="ISE24" s="84"/>
      <c r="ISF24" s="84"/>
      <c r="ISG24" s="84"/>
      <c r="ISH24" s="84"/>
      <c r="ISI24" s="84"/>
      <c r="ISJ24" s="84"/>
      <c r="ISK24" s="84"/>
      <c r="ISL24" s="84"/>
      <c r="ISM24" s="84"/>
      <c r="ISN24" s="84"/>
      <c r="ISO24" s="84"/>
      <c r="ISP24" s="84"/>
      <c r="ISQ24" s="84"/>
      <c r="ISR24" s="84"/>
      <c r="ISS24" s="84"/>
      <c r="IST24" s="84"/>
      <c r="ISU24" s="84"/>
      <c r="ISV24" s="84"/>
      <c r="ISW24" s="84"/>
      <c r="ISX24" s="84"/>
      <c r="ISY24" s="84"/>
      <c r="ISZ24" s="84"/>
      <c r="ITA24" s="84"/>
      <c r="ITB24" s="84"/>
      <c r="ITC24" s="84"/>
      <c r="ITD24" s="84"/>
      <c r="ITE24" s="84"/>
      <c r="ITF24" s="84"/>
      <c r="ITG24" s="84"/>
      <c r="ITH24" s="84"/>
      <c r="ITI24" s="84"/>
      <c r="ITJ24" s="84"/>
      <c r="ITK24" s="84"/>
      <c r="ITL24" s="84"/>
      <c r="ITM24" s="84"/>
      <c r="ITN24" s="84"/>
      <c r="ITO24" s="84"/>
      <c r="ITP24" s="84"/>
      <c r="ITQ24" s="84"/>
      <c r="ITR24" s="84"/>
      <c r="ITS24" s="84"/>
      <c r="ITT24" s="84"/>
      <c r="ITU24" s="84"/>
      <c r="ITV24" s="84"/>
      <c r="ITW24" s="84"/>
      <c r="ITX24" s="84"/>
      <c r="ITY24" s="84"/>
      <c r="ITZ24" s="84"/>
      <c r="IUA24" s="84"/>
      <c r="IUB24" s="84"/>
      <c r="IUC24" s="84"/>
      <c r="IUD24" s="84"/>
      <c r="IUE24" s="84"/>
      <c r="IUF24" s="84"/>
      <c r="IUG24" s="84"/>
      <c r="IUH24" s="84"/>
      <c r="IUI24" s="84"/>
      <c r="IUJ24" s="84"/>
      <c r="IUK24" s="84"/>
      <c r="IUL24" s="84"/>
      <c r="IUM24" s="84"/>
      <c r="IUN24" s="84"/>
      <c r="IUO24" s="84"/>
      <c r="IUP24" s="84"/>
      <c r="IUQ24" s="84"/>
      <c r="IUR24" s="84"/>
      <c r="IUS24" s="84"/>
      <c r="IUT24" s="84"/>
      <c r="IUU24" s="84"/>
      <c r="IUV24" s="84"/>
      <c r="IUW24" s="84"/>
      <c r="IUX24" s="84"/>
      <c r="IUY24" s="84"/>
      <c r="IUZ24" s="84"/>
      <c r="IVA24" s="84"/>
      <c r="IVB24" s="84"/>
      <c r="IVC24" s="84"/>
      <c r="IVD24" s="84"/>
      <c r="IVE24" s="84"/>
      <c r="IVF24" s="84"/>
      <c r="IVG24" s="84"/>
      <c r="IVH24" s="84"/>
      <c r="IVI24" s="84"/>
      <c r="IVJ24" s="84"/>
      <c r="IVK24" s="84"/>
      <c r="IVL24" s="84"/>
      <c r="IVM24" s="84"/>
      <c r="IVN24" s="84"/>
      <c r="IVO24" s="84"/>
      <c r="IVP24" s="84"/>
      <c r="IVQ24" s="84"/>
      <c r="IVR24" s="84"/>
      <c r="IVS24" s="84"/>
      <c r="IVT24" s="84"/>
      <c r="IVU24" s="84"/>
      <c r="IVV24" s="84"/>
      <c r="IVW24" s="84"/>
      <c r="IVX24" s="84"/>
      <c r="IVY24" s="84"/>
      <c r="IVZ24" s="84"/>
      <c r="IWA24" s="84"/>
      <c r="IWB24" s="84"/>
      <c r="IWC24" s="84"/>
      <c r="IWD24" s="84"/>
      <c r="IWE24" s="84"/>
      <c r="IWF24" s="84"/>
      <c r="IWG24" s="84"/>
      <c r="IWH24" s="84"/>
      <c r="IWI24" s="84"/>
      <c r="IWJ24" s="84"/>
      <c r="IWK24" s="84"/>
      <c r="IWL24" s="84"/>
      <c r="IWM24" s="84"/>
      <c r="IWN24" s="84"/>
      <c r="IWO24" s="84"/>
      <c r="IWP24" s="84"/>
      <c r="IWQ24" s="84"/>
      <c r="IWR24" s="84"/>
      <c r="IWS24" s="84"/>
      <c r="IWT24" s="84"/>
      <c r="IWU24" s="84"/>
      <c r="IWV24" s="84"/>
      <c r="IWW24" s="84"/>
      <c r="IWX24" s="84"/>
      <c r="IWY24" s="84"/>
      <c r="IWZ24" s="84"/>
      <c r="IXA24" s="84"/>
      <c r="IXB24" s="84"/>
      <c r="IXC24" s="84"/>
      <c r="IXD24" s="84"/>
      <c r="IXE24" s="84"/>
      <c r="IXF24" s="84"/>
      <c r="IXG24" s="84"/>
      <c r="IXH24" s="84"/>
      <c r="IXI24" s="84"/>
      <c r="IXJ24" s="84"/>
      <c r="IXK24" s="84"/>
      <c r="IXL24" s="84"/>
      <c r="IXM24" s="84"/>
      <c r="IXN24" s="84"/>
      <c r="IXO24" s="84"/>
      <c r="IXP24" s="84"/>
      <c r="IXQ24" s="84"/>
      <c r="IXR24" s="84"/>
      <c r="IXS24" s="84"/>
      <c r="IXT24" s="84"/>
      <c r="IXU24" s="84"/>
      <c r="IXV24" s="84"/>
      <c r="IXW24" s="84"/>
      <c r="IXX24" s="84"/>
      <c r="IXY24" s="84"/>
      <c r="IXZ24" s="84"/>
      <c r="IYA24" s="84"/>
      <c r="IYB24" s="84"/>
      <c r="IYC24" s="84"/>
      <c r="IYD24" s="84"/>
      <c r="IYE24" s="84"/>
      <c r="IYF24" s="84"/>
      <c r="IYG24" s="84"/>
      <c r="IYH24" s="84"/>
      <c r="IYI24" s="84"/>
      <c r="IYJ24" s="84"/>
      <c r="IYK24" s="84"/>
      <c r="IYL24" s="84"/>
      <c r="IYM24" s="84"/>
      <c r="IYN24" s="84"/>
      <c r="IYO24" s="84"/>
      <c r="IYP24" s="84"/>
      <c r="IYQ24" s="84"/>
      <c r="IYR24" s="84"/>
      <c r="IYS24" s="84"/>
      <c r="IYT24" s="84"/>
      <c r="IYU24" s="84"/>
      <c r="IYV24" s="84"/>
      <c r="IYW24" s="84"/>
      <c r="IYX24" s="84"/>
      <c r="IYY24" s="84"/>
      <c r="IYZ24" s="84"/>
      <c r="IZA24" s="84"/>
      <c r="IZB24" s="84"/>
      <c r="IZC24" s="84"/>
      <c r="IZD24" s="84"/>
      <c r="IZE24" s="84"/>
      <c r="IZF24" s="84"/>
      <c r="IZG24" s="84"/>
      <c r="IZH24" s="84"/>
      <c r="IZI24" s="84"/>
      <c r="IZJ24" s="84"/>
      <c r="IZK24" s="84"/>
      <c r="IZL24" s="84"/>
      <c r="IZM24" s="84"/>
      <c r="IZN24" s="84"/>
      <c r="IZO24" s="84"/>
      <c r="IZP24" s="84"/>
      <c r="IZQ24" s="84"/>
      <c r="IZR24" s="84"/>
      <c r="IZS24" s="84"/>
      <c r="IZT24" s="84"/>
      <c r="IZU24" s="84"/>
      <c r="IZV24" s="84"/>
      <c r="IZW24" s="84"/>
      <c r="IZX24" s="84"/>
      <c r="IZY24" s="84"/>
      <c r="IZZ24" s="84"/>
      <c r="JAA24" s="84"/>
      <c r="JAB24" s="84"/>
      <c r="JAC24" s="84"/>
      <c r="JAD24" s="84"/>
      <c r="JAE24" s="84"/>
      <c r="JAF24" s="84"/>
      <c r="JAG24" s="84"/>
      <c r="JAH24" s="84"/>
      <c r="JAI24" s="84"/>
      <c r="JAJ24" s="84"/>
      <c r="JAK24" s="84"/>
      <c r="JAL24" s="84"/>
      <c r="JAM24" s="84"/>
      <c r="JAN24" s="84"/>
      <c r="JAO24" s="84"/>
      <c r="JAP24" s="84"/>
      <c r="JAQ24" s="84"/>
      <c r="JAR24" s="84"/>
      <c r="JAS24" s="84"/>
      <c r="JAT24" s="84"/>
      <c r="JAU24" s="84"/>
      <c r="JAV24" s="84"/>
      <c r="JAW24" s="84"/>
      <c r="JAX24" s="84"/>
      <c r="JAY24" s="84"/>
      <c r="JAZ24" s="84"/>
      <c r="JBA24" s="84"/>
      <c r="JBB24" s="84"/>
      <c r="JBC24" s="84"/>
      <c r="JBD24" s="84"/>
      <c r="JBE24" s="84"/>
      <c r="JBF24" s="84"/>
      <c r="JBG24" s="84"/>
      <c r="JBH24" s="84"/>
      <c r="JBI24" s="84"/>
      <c r="JBJ24" s="84"/>
      <c r="JBK24" s="84"/>
      <c r="JBL24" s="84"/>
      <c r="JBM24" s="84"/>
      <c r="JBN24" s="84"/>
      <c r="JBO24" s="84"/>
      <c r="JBP24" s="84"/>
      <c r="JBQ24" s="84"/>
      <c r="JBR24" s="84"/>
      <c r="JBS24" s="84"/>
      <c r="JBT24" s="84"/>
      <c r="JBU24" s="84"/>
      <c r="JBV24" s="84"/>
      <c r="JBW24" s="84"/>
      <c r="JBX24" s="84"/>
      <c r="JBY24" s="84"/>
      <c r="JBZ24" s="84"/>
      <c r="JCA24" s="84"/>
      <c r="JCB24" s="84"/>
      <c r="JCC24" s="84"/>
      <c r="JCD24" s="84"/>
      <c r="JCE24" s="84"/>
      <c r="JCF24" s="84"/>
      <c r="JCG24" s="84"/>
      <c r="JCH24" s="84"/>
      <c r="JCI24" s="84"/>
      <c r="JCJ24" s="84"/>
      <c r="JCK24" s="84"/>
      <c r="JCL24" s="84"/>
      <c r="JCM24" s="84"/>
      <c r="JCN24" s="84"/>
      <c r="JCO24" s="84"/>
      <c r="JCP24" s="84"/>
      <c r="JCQ24" s="84"/>
      <c r="JCR24" s="84"/>
      <c r="JCS24" s="84"/>
      <c r="JCT24" s="84"/>
      <c r="JCU24" s="84"/>
      <c r="JCV24" s="84"/>
      <c r="JCW24" s="84"/>
      <c r="JCX24" s="84"/>
      <c r="JCY24" s="84"/>
      <c r="JCZ24" s="84"/>
      <c r="JDA24" s="84"/>
      <c r="JDB24" s="84"/>
      <c r="JDC24" s="84"/>
      <c r="JDD24" s="84"/>
      <c r="JDE24" s="84"/>
      <c r="JDF24" s="84"/>
      <c r="JDG24" s="84"/>
      <c r="JDH24" s="84"/>
      <c r="JDI24" s="84"/>
      <c r="JDJ24" s="84"/>
      <c r="JDK24" s="84"/>
      <c r="JDL24" s="84"/>
      <c r="JDM24" s="84"/>
      <c r="JDN24" s="84"/>
      <c r="JDO24" s="84"/>
      <c r="JDP24" s="84"/>
      <c r="JDQ24" s="84"/>
      <c r="JDR24" s="84"/>
      <c r="JDS24" s="84"/>
      <c r="JDT24" s="84"/>
      <c r="JDU24" s="84"/>
      <c r="JDV24" s="84"/>
      <c r="JDW24" s="84"/>
      <c r="JDX24" s="84"/>
      <c r="JDY24" s="84"/>
      <c r="JDZ24" s="84"/>
      <c r="JEA24" s="84"/>
      <c r="JEB24" s="84"/>
      <c r="JEC24" s="84"/>
      <c r="JED24" s="84"/>
      <c r="JEE24" s="84"/>
      <c r="JEF24" s="84"/>
      <c r="JEG24" s="84"/>
      <c r="JEH24" s="84"/>
      <c r="JEI24" s="84"/>
      <c r="JEJ24" s="84"/>
      <c r="JEK24" s="84"/>
      <c r="JEL24" s="84"/>
      <c r="JEM24" s="84"/>
      <c r="JEN24" s="84"/>
      <c r="JEO24" s="84"/>
      <c r="JEP24" s="84"/>
      <c r="JEQ24" s="84"/>
      <c r="JER24" s="84"/>
      <c r="JES24" s="84"/>
      <c r="JET24" s="84"/>
      <c r="JEU24" s="84"/>
      <c r="JEV24" s="84"/>
      <c r="JEW24" s="84"/>
      <c r="JEX24" s="84"/>
      <c r="JEY24" s="84"/>
      <c r="JEZ24" s="84"/>
      <c r="JFA24" s="84"/>
      <c r="JFB24" s="84"/>
      <c r="JFC24" s="84"/>
      <c r="JFD24" s="84"/>
      <c r="JFE24" s="84"/>
      <c r="JFF24" s="84"/>
      <c r="JFG24" s="84"/>
      <c r="JFH24" s="84"/>
      <c r="JFI24" s="84"/>
      <c r="JFJ24" s="84"/>
      <c r="JFK24" s="84"/>
      <c r="JFL24" s="84"/>
      <c r="JFM24" s="84"/>
      <c r="JFN24" s="84"/>
      <c r="JFO24" s="84"/>
      <c r="JFP24" s="84"/>
      <c r="JFQ24" s="84"/>
      <c r="JFR24" s="84"/>
      <c r="JFS24" s="84"/>
      <c r="JFT24" s="84"/>
      <c r="JFU24" s="84"/>
      <c r="JFV24" s="84"/>
      <c r="JFW24" s="84"/>
      <c r="JFX24" s="84"/>
      <c r="JFY24" s="84"/>
      <c r="JFZ24" s="84"/>
      <c r="JGA24" s="84"/>
      <c r="JGB24" s="84"/>
      <c r="JGC24" s="84"/>
      <c r="JGD24" s="84"/>
      <c r="JGE24" s="84"/>
      <c r="JGF24" s="84"/>
      <c r="JGG24" s="84"/>
      <c r="JGH24" s="84"/>
      <c r="JGI24" s="84"/>
      <c r="JGJ24" s="84"/>
      <c r="JGK24" s="84"/>
      <c r="JGL24" s="84"/>
      <c r="JGM24" s="84"/>
      <c r="JGN24" s="84"/>
      <c r="JGO24" s="84"/>
      <c r="JGP24" s="84"/>
      <c r="JGQ24" s="84"/>
      <c r="JGR24" s="84"/>
      <c r="JGS24" s="84"/>
      <c r="JGT24" s="84"/>
      <c r="JGU24" s="84"/>
      <c r="JGV24" s="84"/>
      <c r="JGW24" s="84"/>
      <c r="JGX24" s="84"/>
      <c r="JGY24" s="84"/>
      <c r="JGZ24" s="84"/>
      <c r="JHA24" s="84"/>
      <c r="JHB24" s="84"/>
      <c r="JHC24" s="84"/>
      <c r="JHD24" s="84"/>
      <c r="JHE24" s="84"/>
      <c r="JHF24" s="84"/>
      <c r="JHG24" s="84"/>
      <c r="JHH24" s="84"/>
      <c r="JHI24" s="84"/>
      <c r="JHJ24" s="84"/>
      <c r="JHK24" s="84"/>
      <c r="JHL24" s="84"/>
      <c r="JHM24" s="84"/>
      <c r="JHN24" s="84"/>
      <c r="JHO24" s="84"/>
      <c r="JHP24" s="84"/>
      <c r="JHQ24" s="84"/>
      <c r="JHR24" s="84"/>
      <c r="JHS24" s="84"/>
      <c r="JHT24" s="84"/>
      <c r="JHU24" s="84"/>
      <c r="JHV24" s="84"/>
      <c r="JHW24" s="84"/>
      <c r="JHX24" s="84"/>
      <c r="JHY24" s="84"/>
      <c r="JHZ24" s="84"/>
      <c r="JIA24" s="84"/>
      <c r="JIB24" s="84"/>
      <c r="JIC24" s="84"/>
      <c r="JID24" s="84"/>
      <c r="JIE24" s="84"/>
      <c r="JIF24" s="84"/>
      <c r="JIG24" s="84"/>
      <c r="JIH24" s="84"/>
      <c r="JII24" s="84"/>
      <c r="JIJ24" s="84"/>
      <c r="JIK24" s="84"/>
      <c r="JIL24" s="84"/>
      <c r="JIM24" s="84"/>
      <c r="JIN24" s="84"/>
      <c r="JIO24" s="84"/>
      <c r="JIP24" s="84"/>
      <c r="JIQ24" s="84"/>
      <c r="JIR24" s="84"/>
      <c r="JIS24" s="84"/>
      <c r="JIT24" s="84"/>
      <c r="JIU24" s="84"/>
      <c r="JIV24" s="84"/>
      <c r="JIW24" s="84"/>
      <c r="JIX24" s="84"/>
      <c r="JIY24" s="84"/>
      <c r="JIZ24" s="84"/>
      <c r="JJA24" s="84"/>
      <c r="JJB24" s="84"/>
      <c r="JJC24" s="84"/>
      <c r="JJD24" s="84"/>
      <c r="JJE24" s="84"/>
      <c r="JJF24" s="84"/>
      <c r="JJG24" s="84"/>
      <c r="JJH24" s="84"/>
      <c r="JJI24" s="84"/>
      <c r="JJJ24" s="84"/>
      <c r="JJK24" s="84"/>
      <c r="JJL24" s="84"/>
      <c r="JJM24" s="84"/>
      <c r="JJN24" s="84"/>
      <c r="JJO24" s="84"/>
      <c r="JJP24" s="84"/>
      <c r="JJQ24" s="84"/>
      <c r="JJR24" s="84"/>
      <c r="JJS24" s="84"/>
      <c r="JJT24" s="84"/>
      <c r="JJU24" s="84"/>
      <c r="JJV24" s="84"/>
      <c r="JJW24" s="84"/>
      <c r="JJX24" s="84"/>
      <c r="JJY24" s="84"/>
      <c r="JJZ24" s="84"/>
      <c r="JKA24" s="84"/>
      <c r="JKB24" s="84"/>
      <c r="JKC24" s="84"/>
      <c r="JKD24" s="84"/>
      <c r="JKE24" s="84"/>
      <c r="JKF24" s="84"/>
      <c r="JKG24" s="84"/>
      <c r="JKH24" s="84"/>
      <c r="JKI24" s="84"/>
      <c r="JKJ24" s="84"/>
      <c r="JKK24" s="84"/>
      <c r="JKL24" s="84"/>
      <c r="JKM24" s="84"/>
      <c r="JKN24" s="84"/>
      <c r="JKO24" s="84"/>
      <c r="JKP24" s="84"/>
      <c r="JKQ24" s="84"/>
      <c r="JKR24" s="84"/>
      <c r="JKS24" s="84"/>
      <c r="JKT24" s="84"/>
      <c r="JKU24" s="84"/>
      <c r="JKV24" s="84"/>
      <c r="JKW24" s="84"/>
      <c r="JKX24" s="84"/>
      <c r="JKY24" s="84"/>
      <c r="JKZ24" s="84"/>
      <c r="JLA24" s="84"/>
      <c r="JLB24" s="84"/>
      <c r="JLC24" s="84"/>
      <c r="JLD24" s="84"/>
      <c r="JLE24" s="84"/>
      <c r="JLF24" s="84"/>
      <c r="JLG24" s="84"/>
      <c r="JLH24" s="84"/>
      <c r="JLI24" s="84"/>
      <c r="JLJ24" s="84"/>
      <c r="JLK24" s="84"/>
      <c r="JLL24" s="84"/>
      <c r="JLM24" s="84"/>
      <c r="JLN24" s="84"/>
      <c r="JLO24" s="84"/>
      <c r="JLP24" s="84"/>
      <c r="JLQ24" s="84"/>
      <c r="JLR24" s="84"/>
      <c r="JLS24" s="84"/>
      <c r="JLT24" s="84"/>
      <c r="JLU24" s="84"/>
      <c r="JLV24" s="84"/>
      <c r="JLW24" s="84"/>
      <c r="JLX24" s="84"/>
      <c r="JLY24" s="84"/>
      <c r="JLZ24" s="84"/>
      <c r="JMA24" s="84"/>
      <c r="JMB24" s="84"/>
      <c r="JMC24" s="84"/>
      <c r="JMD24" s="84"/>
      <c r="JME24" s="84"/>
      <c r="JMF24" s="84"/>
      <c r="JMG24" s="84"/>
      <c r="JMH24" s="84"/>
      <c r="JMI24" s="84"/>
      <c r="JMJ24" s="84"/>
      <c r="JMK24" s="84"/>
      <c r="JML24" s="84"/>
      <c r="JMM24" s="84"/>
      <c r="JMN24" s="84"/>
      <c r="JMO24" s="84"/>
      <c r="JMP24" s="84"/>
      <c r="JMQ24" s="84"/>
      <c r="JMR24" s="84"/>
      <c r="JMS24" s="84"/>
      <c r="JMT24" s="84"/>
      <c r="JMU24" s="84"/>
      <c r="JMV24" s="84"/>
      <c r="JMW24" s="84"/>
      <c r="JMX24" s="84"/>
      <c r="JMY24" s="84"/>
      <c r="JMZ24" s="84"/>
      <c r="JNA24" s="84"/>
      <c r="JNB24" s="84"/>
      <c r="JNC24" s="84"/>
      <c r="JND24" s="84"/>
      <c r="JNE24" s="84"/>
      <c r="JNF24" s="84"/>
      <c r="JNG24" s="84"/>
      <c r="JNH24" s="84"/>
      <c r="JNI24" s="84"/>
      <c r="JNJ24" s="84"/>
      <c r="JNK24" s="84"/>
      <c r="JNL24" s="84"/>
      <c r="JNM24" s="84"/>
      <c r="JNN24" s="84"/>
      <c r="JNO24" s="84"/>
      <c r="JNP24" s="84"/>
      <c r="JNQ24" s="84"/>
      <c r="JNR24" s="84"/>
      <c r="JNS24" s="84"/>
      <c r="JNT24" s="84"/>
      <c r="JNU24" s="84"/>
      <c r="JNV24" s="84"/>
      <c r="JNW24" s="84"/>
      <c r="JNX24" s="84"/>
      <c r="JNY24" s="84"/>
      <c r="JNZ24" s="84"/>
      <c r="JOA24" s="84"/>
      <c r="JOB24" s="84"/>
      <c r="JOC24" s="84"/>
      <c r="JOD24" s="84"/>
      <c r="JOE24" s="84"/>
      <c r="JOF24" s="84"/>
      <c r="JOG24" s="84"/>
      <c r="JOH24" s="84"/>
      <c r="JOI24" s="84"/>
      <c r="JOJ24" s="84"/>
      <c r="JOK24" s="84"/>
      <c r="JOL24" s="84"/>
      <c r="JOM24" s="84"/>
      <c r="JON24" s="84"/>
      <c r="JOO24" s="84"/>
      <c r="JOP24" s="84"/>
      <c r="JOQ24" s="84"/>
      <c r="JOR24" s="84"/>
      <c r="JOS24" s="84"/>
      <c r="JOT24" s="84"/>
      <c r="JOU24" s="84"/>
      <c r="JOV24" s="84"/>
      <c r="JOW24" s="84"/>
      <c r="JOX24" s="84"/>
      <c r="JOY24" s="84"/>
      <c r="JOZ24" s="84"/>
      <c r="JPA24" s="84"/>
      <c r="JPB24" s="84"/>
      <c r="JPC24" s="84"/>
      <c r="JPD24" s="84"/>
      <c r="JPE24" s="84"/>
      <c r="JPF24" s="84"/>
      <c r="JPG24" s="84"/>
      <c r="JPH24" s="84"/>
      <c r="JPI24" s="84"/>
      <c r="JPJ24" s="84"/>
      <c r="JPK24" s="84"/>
      <c r="JPL24" s="84"/>
      <c r="JPM24" s="84"/>
      <c r="JPN24" s="84"/>
      <c r="JPO24" s="84"/>
      <c r="JPP24" s="84"/>
      <c r="JPQ24" s="84"/>
      <c r="JPR24" s="84"/>
      <c r="JPS24" s="84"/>
      <c r="JPT24" s="84"/>
      <c r="JPU24" s="84"/>
      <c r="JPV24" s="84"/>
      <c r="JPW24" s="84"/>
      <c r="JPX24" s="84"/>
      <c r="JPY24" s="84"/>
      <c r="JPZ24" s="84"/>
      <c r="JQA24" s="84"/>
      <c r="JQB24" s="84"/>
      <c r="JQC24" s="84"/>
      <c r="JQD24" s="84"/>
      <c r="JQE24" s="84"/>
      <c r="JQF24" s="84"/>
      <c r="JQG24" s="84"/>
      <c r="JQH24" s="84"/>
      <c r="JQI24" s="84"/>
      <c r="JQJ24" s="84"/>
      <c r="JQK24" s="84"/>
      <c r="JQL24" s="84"/>
      <c r="JQM24" s="84"/>
      <c r="JQN24" s="84"/>
      <c r="JQO24" s="84"/>
      <c r="JQP24" s="84"/>
      <c r="JQQ24" s="84"/>
      <c r="JQR24" s="84"/>
      <c r="JQS24" s="84"/>
      <c r="JQT24" s="84"/>
      <c r="JQU24" s="84"/>
      <c r="JQV24" s="84"/>
      <c r="JQW24" s="84"/>
      <c r="JQX24" s="84"/>
      <c r="JQY24" s="84"/>
      <c r="JQZ24" s="84"/>
      <c r="JRA24" s="84"/>
      <c r="JRB24" s="84"/>
      <c r="JRC24" s="84"/>
      <c r="JRD24" s="84"/>
      <c r="JRE24" s="84"/>
      <c r="JRF24" s="84"/>
      <c r="JRG24" s="84"/>
      <c r="JRH24" s="84"/>
      <c r="JRI24" s="84"/>
      <c r="JRJ24" s="84"/>
      <c r="JRK24" s="84"/>
      <c r="JRL24" s="84"/>
      <c r="JRM24" s="84"/>
      <c r="JRN24" s="84"/>
      <c r="JRO24" s="84"/>
      <c r="JRP24" s="84"/>
      <c r="JRQ24" s="84"/>
      <c r="JRR24" s="84"/>
      <c r="JRS24" s="84"/>
      <c r="JRT24" s="84"/>
      <c r="JRU24" s="84"/>
      <c r="JRV24" s="84"/>
      <c r="JRW24" s="84"/>
      <c r="JRX24" s="84"/>
      <c r="JRY24" s="84"/>
      <c r="JRZ24" s="84"/>
      <c r="JSA24" s="84"/>
      <c r="JSB24" s="84"/>
      <c r="JSC24" s="84"/>
      <c r="JSD24" s="84"/>
      <c r="JSE24" s="84"/>
      <c r="JSF24" s="84"/>
      <c r="JSG24" s="84"/>
      <c r="JSH24" s="84"/>
      <c r="JSI24" s="84"/>
      <c r="JSJ24" s="84"/>
      <c r="JSK24" s="84"/>
      <c r="JSL24" s="84"/>
      <c r="JSM24" s="84"/>
      <c r="JSN24" s="84"/>
      <c r="JSO24" s="84"/>
      <c r="JSP24" s="84"/>
      <c r="JSQ24" s="84"/>
      <c r="JSR24" s="84"/>
      <c r="JSS24" s="84"/>
      <c r="JST24" s="84"/>
      <c r="JSU24" s="84"/>
      <c r="JSV24" s="84"/>
      <c r="JSW24" s="84"/>
      <c r="JSX24" s="84"/>
      <c r="JSY24" s="84"/>
      <c r="JSZ24" s="84"/>
      <c r="JTA24" s="84"/>
      <c r="JTB24" s="84"/>
      <c r="JTC24" s="84"/>
      <c r="JTD24" s="84"/>
      <c r="JTE24" s="84"/>
      <c r="JTF24" s="84"/>
      <c r="JTG24" s="84"/>
      <c r="JTH24" s="84"/>
      <c r="JTI24" s="84"/>
      <c r="JTJ24" s="84"/>
      <c r="JTK24" s="84"/>
      <c r="JTL24" s="84"/>
      <c r="JTM24" s="84"/>
      <c r="JTN24" s="84"/>
      <c r="JTO24" s="84"/>
      <c r="JTP24" s="84"/>
      <c r="JTQ24" s="84"/>
      <c r="JTR24" s="84"/>
      <c r="JTS24" s="84"/>
      <c r="JTT24" s="84"/>
      <c r="JTU24" s="84"/>
      <c r="JTV24" s="84"/>
      <c r="JTW24" s="84"/>
      <c r="JTX24" s="84"/>
      <c r="JTY24" s="84"/>
      <c r="JTZ24" s="84"/>
      <c r="JUA24" s="84"/>
      <c r="JUB24" s="84"/>
      <c r="JUC24" s="84"/>
      <c r="JUD24" s="84"/>
      <c r="JUE24" s="84"/>
      <c r="JUF24" s="84"/>
      <c r="JUG24" s="84"/>
      <c r="JUH24" s="84"/>
      <c r="JUI24" s="84"/>
      <c r="JUJ24" s="84"/>
      <c r="JUK24" s="84"/>
      <c r="JUL24" s="84"/>
      <c r="JUM24" s="84"/>
      <c r="JUN24" s="84"/>
      <c r="JUO24" s="84"/>
      <c r="JUP24" s="84"/>
      <c r="JUQ24" s="84"/>
      <c r="JUR24" s="84"/>
      <c r="JUS24" s="84"/>
      <c r="JUT24" s="84"/>
      <c r="JUU24" s="84"/>
      <c r="JUV24" s="84"/>
      <c r="JUW24" s="84"/>
      <c r="JUX24" s="84"/>
      <c r="JUY24" s="84"/>
      <c r="JUZ24" s="84"/>
      <c r="JVA24" s="84"/>
      <c r="JVB24" s="84"/>
      <c r="JVC24" s="84"/>
      <c r="JVD24" s="84"/>
      <c r="JVE24" s="84"/>
      <c r="JVF24" s="84"/>
      <c r="JVG24" s="84"/>
      <c r="JVH24" s="84"/>
      <c r="JVI24" s="84"/>
      <c r="JVJ24" s="84"/>
      <c r="JVK24" s="84"/>
      <c r="JVL24" s="84"/>
      <c r="JVM24" s="84"/>
      <c r="JVN24" s="84"/>
      <c r="JVO24" s="84"/>
      <c r="JVP24" s="84"/>
      <c r="JVQ24" s="84"/>
      <c r="JVR24" s="84"/>
      <c r="JVS24" s="84"/>
      <c r="JVT24" s="84"/>
      <c r="JVU24" s="84"/>
      <c r="JVV24" s="84"/>
      <c r="JVW24" s="84"/>
      <c r="JVX24" s="84"/>
      <c r="JVY24" s="84"/>
      <c r="JVZ24" s="84"/>
      <c r="JWA24" s="84"/>
      <c r="JWB24" s="84"/>
      <c r="JWC24" s="84"/>
      <c r="JWD24" s="84"/>
      <c r="JWE24" s="84"/>
      <c r="JWF24" s="84"/>
      <c r="JWG24" s="84"/>
      <c r="JWH24" s="84"/>
      <c r="JWI24" s="84"/>
      <c r="JWJ24" s="84"/>
      <c r="JWK24" s="84"/>
      <c r="JWL24" s="84"/>
      <c r="JWM24" s="84"/>
      <c r="JWN24" s="84"/>
      <c r="JWO24" s="84"/>
      <c r="JWP24" s="84"/>
      <c r="JWQ24" s="84"/>
      <c r="JWR24" s="84"/>
      <c r="JWS24" s="84"/>
      <c r="JWT24" s="84"/>
      <c r="JWU24" s="84"/>
      <c r="JWV24" s="84"/>
      <c r="JWW24" s="84"/>
      <c r="JWX24" s="84"/>
      <c r="JWY24" s="84"/>
      <c r="JWZ24" s="84"/>
      <c r="JXA24" s="84"/>
      <c r="JXB24" s="84"/>
      <c r="JXC24" s="84"/>
      <c r="JXD24" s="84"/>
      <c r="JXE24" s="84"/>
      <c r="JXF24" s="84"/>
      <c r="JXG24" s="84"/>
      <c r="JXH24" s="84"/>
      <c r="JXI24" s="84"/>
      <c r="JXJ24" s="84"/>
      <c r="JXK24" s="84"/>
      <c r="JXL24" s="84"/>
      <c r="JXM24" s="84"/>
      <c r="JXN24" s="84"/>
      <c r="JXO24" s="84"/>
      <c r="JXP24" s="84"/>
      <c r="JXQ24" s="84"/>
      <c r="JXR24" s="84"/>
      <c r="JXS24" s="84"/>
      <c r="JXT24" s="84"/>
      <c r="JXU24" s="84"/>
      <c r="JXV24" s="84"/>
      <c r="JXW24" s="84"/>
      <c r="JXX24" s="84"/>
      <c r="JXY24" s="84"/>
      <c r="JXZ24" s="84"/>
      <c r="JYA24" s="84"/>
      <c r="JYB24" s="84"/>
      <c r="JYC24" s="84"/>
      <c r="JYD24" s="84"/>
      <c r="JYE24" s="84"/>
      <c r="JYF24" s="84"/>
      <c r="JYG24" s="84"/>
      <c r="JYH24" s="84"/>
      <c r="JYI24" s="84"/>
      <c r="JYJ24" s="84"/>
      <c r="JYK24" s="84"/>
      <c r="JYL24" s="84"/>
      <c r="JYM24" s="84"/>
      <c r="JYN24" s="84"/>
      <c r="JYO24" s="84"/>
      <c r="JYP24" s="84"/>
      <c r="JYQ24" s="84"/>
      <c r="JYR24" s="84"/>
      <c r="JYS24" s="84"/>
      <c r="JYT24" s="84"/>
      <c r="JYU24" s="84"/>
      <c r="JYV24" s="84"/>
      <c r="JYW24" s="84"/>
      <c r="JYX24" s="84"/>
      <c r="JYY24" s="84"/>
      <c r="JYZ24" s="84"/>
      <c r="JZA24" s="84"/>
      <c r="JZB24" s="84"/>
      <c r="JZC24" s="84"/>
      <c r="JZD24" s="84"/>
      <c r="JZE24" s="84"/>
      <c r="JZF24" s="84"/>
      <c r="JZG24" s="84"/>
      <c r="JZH24" s="84"/>
      <c r="JZI24" s="84"/>
      <c r="JZJ24" s="84"/>
      <c r="JZK24" s="84"/>
      <c r="JZL24" s="84"/>
      <c r="JZM24" s="84"/>
      <c r="JZN24" s="84"/>
      <c r="JZO24" s="84"/>
      <c r="JZP24" s="84"/>
      <c r="JZQ24" s="84"/>
      <c r="JZR24" s="84"/>
      <c r="JZS24" s="84"/>
      <c r="JZT24" s="84"/>
      <c r="JZU24" s="84"/>
      <c r="JZV24" s="84"/>
      <c r="JZW24" s="84"/>
      <c r="JZX24" s="84"/>
      <c r="JZY24" s="84"/>
      <c r="JZZ24" s="84"/>
      <c r="KAA24" s="84"/>
      <c r="KAB24" s="84"/>
      <c r="KAC24" s="84"/>
      <c r="KAD24" s="84"/>
      <c r="KAE24" s="84"/>
      <c r="KAF24" s="84"/>
      <c r="KAG24" s="84"/>
      <c r="KAH24" s="84"/>
      <c r="KAI24" s="84"/>
      <c r="KAJ24" s="84"/>
      <c r="KAK24" s="84"/>
      <c r="KAL24" s="84"/>
      <c r="KAM24" s="84"/>
      <c r="KAN24" s="84"/>
      <c r="KAO24" s="84"/>
      <c r="KAP24" s="84"/>
      <c r="KAQ24" s="84"/>
      <c r="KAR24" s="84"/>
      <c r="KAS24" s="84"/>
      <c r="KAT24" s="84"/>
      <c r="KAU24" s="84"/>
      <c r="KAV24" s="84"/>
      <c r="KAW24" s="84"/>
      <c r="KAX24" s="84"/>
      <c r="KAY24" s="84"/>
      <c r="KAZ24" s="84"/>
      <c r="KBA24" s="84"/>
      <c r="KBB24" s="84"/>
      <c r="KBC24" s="84"/>
      <c r="KBD24" s="84"/>
      <c r="KBE24" s="84"/>
      <c r="KBF24" s="84"/>
      <c r="KBG24" s="84"/>
      <c r="KBH24" s="84"/>
      <c r="KBI24" s="84"/>
      <c r="KBJ24" s="84"/>
      <c r="KBK24" s="84"/>
      <c r="KBL24" s="84"/>
      <c r="KBM24" s="84"/>
      <c r="KBN24" s="84"/>
      <c r="KBO24" s="84"/>
      <c r="KBP24" s="84"/>
      <c r="KBQ24" s="84"/>
      <c r="KBR24" s="84"/>
      <c r="KBS24" s="84"/>
      <c r="KBT24" s="84"/>
      <c r="KBU24" s="84"/>
      <c r="KBV24" s="84"/>
      <c r="KBW24" s="84"/>
      <c r="KBX24" s="84"/>
      <c r="KBY24" s="84"/>
      <c r="KBZ24" s="84"/>
      <c r="KCA24" s="84"/>
      <c r="KCB24" s="84"/>
      <c r="KCC24" s="84"/>
      <c r="KCD24" s="84"/>
      <c r="KCE24" s="84"/>
      <c r="KCF24" s="84"/>
      <c r="KCG24" s="84"/>
      <c r="KCH24" s="84"/>
      <c r="KCI24" s="84"/>
      <c r="KCJ24" s="84"/>
      <c r="KCK24" s="84"/>
      <c r="KCL24" s="84"/>
      <c r="KCM24" s="84"/>
      <c r="KCN24" s="84"/>
      <c r="KCO24" s="84"/>
      <c r="KCP24" s="84"/>
      <c r="KCQ24" s="84"/>
      <c r="KCR24" s="84"/>
      <c r="KCS24" s="84"/>
      <c r="KCT24" s="84"/>
      <c r="KCU24" s="84"/>
      <c r="KCV24" s="84"/>
      <c r="KCW24" s="84"/>
      <c r="KCX24" s="84"/>
      <c r="KCY24" s="84"/>
      <c r="KCZ24" s="84"/>
      <c r="KDA24" s="84"/>
      <c r="KDB24" s="84"/>
      <c r="KDC24" s="84"/>
      <c r="KDD24" s="84"/>
      <c r="KDE24" s="84"/>
      <c r="KDF24" s="84"/>
      <c r="KDG24" s="84"/>
      <c r="KDH24" s="84"/>
      <c r="KDI24" s="84"/>
      <c r="KDJ24" s="84"/>
      <c r="KDK24" s="84"/>
      <c r="KDL24" s="84"/>
      <c r="KDM24" s="84"/>
      <c r="KDN24" s="84"/>
      <c r="KDO24" s="84"/>
      <c r="KDP24" s="84"/>
      <c r="KDQ24" s="84"/>
      <c r="KDR24" s="84"/>
      <c r="KDS24" s="84"/>
      <c r="KDT24" s="84"/>
      <c r="KDU24" s="84"/>
      <c r="KDV24" s="84"/>
      <c r="KDW24" s="84"/>
      <c r="KDX24" s="84"/>
      <c r="KDY24" s="84"/>
      <c r="KDZ24" s="84"/>
      <c r="KEA24" s="84"/>
      <c r="KEB24" s="84"/>
      <c r="KEC24" s="84"/>
      <c r="KED24" s="84"/>
      <c r="KEE24" s="84"/>
      <c r="KEF24" s="84"/>
      <c r="KEG24" s="84"/>
      <c r="KEH24" s="84"/>
      <c r="KEI24" s="84"/>
      <c r="KEJ24" s="84"/>
      <c r="KEK24" s="84"/>
      <c r="KEL24" s="84"/>
      <c r="KEM24" s="84"/>
      <c r="KEN24" s="84"/>
      <c r="KEO24" s="84"/>
      <c r="KEP24" s="84"/>
      <c r="KEQ24" s="84"/>
      <c r="KER24" s="84"/>
      <c r="KES24" s="84"/>
      <c r="KET24" s="84"/>
      <c r="KEU24" s="84"/>
      <c r="KEV24" s="84"/>
      <c r="KEW24" s="84"/>
      <c r="KEX24" s="84"/>
      <c r="KEY24" s="84"/>
      <c r="KEZ24" s="84"/>
      <c r="KFA24" s="84"/>
      <c r="KFB24" s="84"/>
      <c r="KFC24" s="84"/>
      <c r="KFD24" s="84"/>
      <c r="KFE24" s="84"/>
      <c r="KFF24" s="84"/>
      <c r="KFG24" s="84"/>
      <c r="KFH24" s="84"/>
      <c r="KFI24" s="84"/>
      <c r="KFJ24" s="84"/>
      <c r="KFK24" s="84"/>
      <c r="KFL24" s="84"/>
      <c r="KFM24" s="84"/>
      <c r="KFN24" s="84"/>
      <c r="KFO24" s="84"/>
      <c r="KFP24" s="84"/>
      <c r="KFQ24" s="84"/>
      <c r="KFR24" s="84"/>
      <c r="KFS24" s="84"/>
      <c r="KFT24" s="84"/>
      <c r="KFU24" s="84"/>
      <c r="KFV24" s="84"/>
      <c r="KFW24" s="84"/>
      <c r="KFX24" s="84"/>
      <c r="KFY24" s="84"/>
      <c r="KFZ24" s="84"/>
      <c r="KGA24" s="84"/>
      <c r="KGB24" s="84"/>
      <c r="KGC24" s="84"/>
      <c r="KGD24" s="84"/>
      <c r="KGE24" s="84"/>
      <c r="KGF24" s="84"/>
      <c r="KGG24" s="84"/>
      <c r="KGH24" s="84"/>
      <c r="KGI24" s="84"/>
      <c r="KGJ24" s="84"/>
      <c r="KGK24" s="84"/>
      <c r="KGL24" s="84"/>
      <c r="KGM24" s="84"/>
      <c r="KGN24" s="84"/>
      <c r="KGO24" s="84"/>
      <c r="KGP24" s="84"/>
      <c r="KGQ24" s="84"/>
      <c r="KGR24" s="84"/>
      <c r="KGS24" s="84"/>
      <c r="KGT24" s="84"/>
      <c r="KGU24" s="84"/>
      <c r="KGV24" s="84"/>
      <c r="KGW24" s="84"/>
      <c r="KGX24" s="84"/>
      <c r="KGY24" s="84"/>
      <c r="KGZ24" s="84"/>
      <c r="KHA24" s="84"/>
      <c r="KHB24" s="84"/>
      <c r="KHC24" s="84"/>
      <c r="KHD24" s="84"/>
      <c r="KHE24" s="84"/>
      <c r="KHF24" s="84"/>
      <c r="KHG24" s="84"/>
      <c r="KHH24" s="84"/>
      <c r="KHI24" s="84"/>
      <c r="KHJ24" s="84"/>
      <c r="KHK24" s="84"/>
      <c r="KHL24" s="84"/>
      <c r="KHM24" s="84"/>
      <c r="KHN24" s="84"/>
      <c r="KHO24" s="84"/>
      <c r="KHP24" s="84"/>
      <c r="KHQ24" s="84"/>
      <c r="KHR24" s="84"/>
      <c r="KHS24" s="84"/>
      <c r="KHT24" s="84"/>
      <c r="KHU24" s="84"/>
      <c r="KHV24" s="84"/>
      <c r="KHW24" s="84"/>
      <c r="KHX24" s="84"/>
      <c r="KHY24" s="84"/>
      <c r="KHZ24" s="84"/>
      <c r="KIA24" s="84"/>
      <c r="KIB24" s="84"/>
      <c r="KIC24" s="84"/>
      <c r="KID24" s="84"/>
      <c r="KIE24" s="84"/>
      <c r="KIF24" s="84"/>
      <c r="KIG24" s="84"/>
      <c r="KIH24" s="84"/>
      <c r="KII24" s="84"/>
      <c r="KIJ24" s="84"/>
      <c r="KIK24" s="84"/>
      <c r="KIL24" s="84"/>
      <c r="KIM24" s="84"/>
      <c r="KIN24" s="84"/>
      <c r="KIO24" s="84"/>
      <c r="KIP24" s="84"/>
      <c r="KIQ24" s="84"/>
      <c r="KIR24" s="84"/>
      <c r="KIS24" s="84"/>
      <c r="KIT24" s="84"/>
      <c r="KIU24" s="84"/>
      <c r="KIV24" s="84"/>
      <c r="KIW24" s="84"/>
      <c r="KIX24" s="84"/>
      <c r="KIY24" s="84"/>
      <c r="KIZ24" s="84"/>
      <c r="KJA24" s="84"/>
      <c r="KJB24" s="84"/>
      <c r="KJC24" s="84"/>
      <c r="KJD24" s="84"/>
      <c r="KJE24" s="84"/>
      <c r="KJF24" s="84"/>
      <c r="KJG24" s="84"/>
      <c r="KJH24" s="84"/>
      <c r="KJI24" s="84"/>
      <c r="KJJ24" s="84"/>
      <c r="KJK24" s="84"/>
      <c r="KJL24" s="84"/>
      <c r="KJM24" s="84"/>
      <c r="KJN24" s="84"/>
      <c r="KJO24" s="84"/>
      <c r="KJP24" s="84"/>
      <c r="KJQ24" s="84"/>
      <c r="KJR24" s="84"/>
      <c r="KJS24" s="84"/>
      <c r="KJT24" s="84"/>
      <c r="KJU24" s="84"/>
      <c r="KJV24" s="84"/>
      <c r="KJW24" s="84"/>
      <c r="KJX24" s="84"/>
      <c r="KJY24" s="84"/>
      <c r="KJZ24" s="84"/>
      <c r="KKA24" s="84"/>
      <c r="KKB24" s="84"/>
      <c r="KKC24" s="84"/>
      <c r="KKD24" s="84"/>
      <c r="KKE24" s="84"/>
      <c r="KKF24" s="84"/>
      <c r="KKG24" s="84"/>
      <c r="KKH24" s="84"/>
      <c r="KKI24" s="84"/>
      <c r="KKJ24" s="84"/>
      <c r="KKK24" s="84"/>
      <c r="KKL24" s="84"/>
      <c r="KKM24" s="84"/>
      <c r="KKN24" s="84"/>
      <c r="KKO24" s="84"/>
      <c r="KKP24" s="84"/>
      <c r="KKQ24" s="84"/>
      <c r="KKR24" s="84"/>
      <c r="KKS24" s="84"/>
      <c r="KKT24" s="84"/>
      <c r="KKU24" s="84"/>
      <c r="KKV24" s="84"/>
      <c r="KKW24" s="84"/>
      <c r="KKX24" s="84"/>
      <c r="KKY24" s="84"/>
      <c r="KKZ24" s="84"/>
      <c r="KLA24" s="84"/>
      <c r="KLB24" s="84"/>
      <c r="KLC24" s="84"/>
      <c r="KLD24" s="84"/>
      <c r="KLE24" s="84"/>
      <c r="KLF24" s="84"/>
      <c r="KLG24" s="84"/>
      <c r="KLH24" s="84"/>
      <c r="KLI24" s="84"/>
      <c r="KLJ24" s="84"/>
      <c r="KLK24" s="84"/>
      <c r="KLL24" s="84"/>
      <c r="KLM24" s="84"/>
      <c r="KLN24" s="84"/>
      <c r="KLO24" s="84"/>
      <c r="KLP24" s="84"/>
      <c r="KLQ24" s="84"/>
      <c r="KLR24" s="84"/>
      <c r="KLS24" s="84"/>
      <c r="KLT24" s="84"/>
      <c r="KLU24" s="84"/>
      <c r="KLV24" s="84"/>
      <c r="KLW24" s="84"/>
      <c r="KLX24" s="84"/>
      <c r="KLY24" s="84"/>
      <c r="KLZ24" s="84"/>
      <c r="KMA24" s="84"/>
      <c r="KMB24" s="84"/>
      <c r="KMC24" s="84"/>
      <c r="KMD24" s="84"/>
      <c r="KME24" s="84"/>
      <c r="KMF24" s="84"/>
      <c r="KMG24" s="84"/>
      <c r="KMH24" s="84"/>
      <c r="KMI24" s="84"/>
      <c r="KMJ24" s="84"/>
      <c r="KMK24" s="84"/>
      <c r="KML24" s="84"/>
      <c r="KMM24" s="84"/>
      <c r="KMN24" s="84"/>
      <c r="KMO24" s="84"/>
      <c r="KMP24" s="84"/>
      <c r="KMQ24" s="84"/>
      <c r="KMR24" s="84"/>
      <c r="KMS24" s="84"/>
      <c r="KMT24" s="84"/>
      <c r="KMU24" s="84"/>
      <c r="KMV24" s="84"/>
      <c r="KMW24" s="84"/>
      <c r="KMX24" s="84"/>
      <c r="KMY24" s="84"/>
      <c r="KMZ24" s="84"/>
      <c r="KNA24" s="84"/>
      <c r="KNB24" s="84"/>
      <c r="KNC24" s="84"/>
      <c r="KND24" s="84"/>
      <c r="KNE24" s="84"/>
      <c r="KNF24" s="84"/>
      <c r="KNG24" s="84"/>
      <c r="KNH24" s="84"/>
      <c r="KNI24" s="84"/>
      <c r="KNJ24" s="84"/>
      <c r="KNK24" s="84"/>
      <c r="KNL24" s="84"/>
      <c r="KNM24" s="84"/>
      <c r="KNN24" s="84"/>
      <c r="KNO24" s="84"/>
      <c r="KNP24" s="84"/>
      <c r="KNQ24" s="84"/>
      <c r="KNR24" s="84"/>
      <c r="KNS24" s="84"/>
      <c r="KNT24" s="84"/>
      <c r="KNU24" s="84"/>
      <c r="KNV24" s="84"/>
      <c r="KNW24" s="84"/>
      <c r="KNX24" s="84"/>
      <c r="KNY24" s="84"/>
      <c r="KNZ24" s="84"/>
      <c r="KOA24" s="84"/>
      <c r="KOB24" s="84"/>
      <c r="KOC24" s="84"/>
      <c r="KOD24" s="84"/>
      <c r="KOE24" s="84"/>
      <c r="KOF24" s="84"/>
      <c r="KOG24" s="84"/>
      <c r="KOH24" s="84"/>
      <c r="KOI24" s="84"/>
      <c r="KOJ24" s="84"/>
      <c r="KOK24" s="84"/>
      <c r="KOL24" s="84"/>
      <c r="KOM24" s="84"/>
      <c r="KON24" s="84"/>
      <c r="KOO24" s="84"/>
      <c r="KOP24" s="84"/>
      <c r="KOQ24" s="84"/>
      <c r="KOR24" s="84"/>
      <c r="KOS24" s="84"/>
      <c r="KOT24" s="84"/>
      <c r="KOU24" s="84"/>
      <c r="KOV24" s="84"/>
      <c r="KOW24" s="84"/>
      <c r="KOX24" s="84"/>
      <c r="KOY24" s="84"/>
      <c r="KOZ24" s="84"/>
      <c r="KPA24" s="84"/>
      <c r="KPB24" s="84"/>
      <c r="KPC24" s="84"/>
      <c r="KPD24" s="84"/>
      <c r="KPE24" s="84"/>
      <c r="KPF24" s="84"/>
      <c r="KPG24" s="84"/>
      <c r="KPH24" s="84"/>
      <c r="KPI24" s="84"/>
      <c r="KPJ24" s="84"/>
      <c r="KPK24" s="84"/>
      <c r="KPL24" s="84"/>
      <c r="KPM24" s="84"/>
      <c r="KPN24" s="84"/>
      <c r="KPO24" s="84"/>
      <c r="KPP24" s="84"/>
      <c r="KPQ24" s="84"/>
      <c r="KPR24" s="84"/>
      <c r="KPS24" s="84"/>
      <c r="KPT24" s="84"/>
      <c r="KPU24" s="84"/>
      <c r="KPV24" s="84"/>
      <c r="KPW24" s="84"/>
      <c r="KPX24" s="84"/>
      <c r="KPY24" s="84"/>
      <c r="KPZ24" s="84"/>
      <c r="KQA24" s="84"/>
      <c r="KQB24" s="84"/>
      <c r="KQC24" s="84"/>
      <c r="KQD24" s="84"/>
      <c r="KQE24" s="84"/>
      <c r="KQF24" s="84"/>
      <c r="KQG24" s="84"/>
      <c r="KQH24" s="84"/>
      <c r="KQI24" s="84"/>
      <c r="KQJ24" s="84"/>
      <c r="KQK24" s="84"/>
      <c r="KQL24" s="84"/>
      <c r="KQM24" s="84"/>
      <c r="KQN24" s="84"/>
      <c r="KQO24" s="84"/>
      <c r="KQP24" s="84"/>
      <c r="KQQ24" s="84"/>
      <c r="KQR24" s="84"/>
      <c r="KQS24" s="84"/>
      <c r="KQT24" s="84"/>
      <c r="KQU24" s="84"/>
      <c r="KQV24" s="84"/>
      <c r="KQW24" s="84"/>
      <c r="KQX24" s="84"/>
      <c r="KQY24" s="84"/>
      <c r="KQZ24" s="84"/>
      <c r="KRA24" s="84"/>
      <c r="KRB24" s="84"/>
      <c r="KRC24" s="84"/>
      <c r="KRD24" s="84"/>
      <c r="KRE24" s="84"/>
      <c r="KRF24" s="84"/>
      <c r="KRG24" s="84"/>
      <c r="KRH24" s="84"/>
      <c r="KRI24" s="84"/>
      <c r="KRJ24" s="84"/>
      <c r="KRK24" s="84"/>
      <c r="KRL24" s="84"/>
      <c r="KRM24" s="84"/>
      <c r="KRN24" s="84"/>
      <c r="KRO24" s="84"/>
      <c r="KRP24" s="84"/>
      <c r="KRQ24" s="84"/>
      <c r="KRR24" s="84"/>
      <c r="KRS24" s="84"/>
      <c r="KRT24" s="84"/>
      <c r="KRU24" s="84"/>
      <c r="KRV24" s="84"/>
      <c r="KRW24" s="84"/>
      <c r="KRX24" s="84"/>
      <c r="KRY24" s="84"/>
      <c r="KRZ24" s="84"/>
      <c r="KSA24" s="84"/>
      <c r="KSB24" s="84"/>
      <c r="KSC24" s="84"/>
      <c r="KSD24" s="84"/>
      <c r="KSE24" s="84"/>
      <c r="KSF24" s="84"/>
      <c r="KSG24" s="84"/>
      <c r="KSH24" s="84"/>
      <c r="KSI24" s="84"/>
      <c r="KSJ24" s="84"/>
      <c r="KSK24" s="84"/>
      <c r="KSL24" s="84"/>
      <c r="KSM24" s="84"/>
      <c r="KSN24" s="84"/>
      <c r="KSO24" s="84"/>
      <c r="KSP24" s="84"/>
      <c r="KSQ24" s="84"/>
      <c r="KSR24" s="84"/>
      <c r="KSS24" s="84"/>
      <c r="KST24" s="84"/>
      <c r="KSU24" s="84"/>
      <c r="KSV24" s="84"/>
      <c r="KSW24" s="84"/>
      <c r="KSX24" s="84"/>
      <c r="KSY24" s="84"/>
      <c r="KSZ24" s="84"/>
      <c r="KTA24" s="84"/>
      <c r="KTB24" s="84"/>
      <c r="KTC24" s="84"/>
      <c r="KTD24" s="84"/>
      <c r="KTE24" s="84"/>
      <c r="KTF24" s="84"/>
      <c r="KTG24" s="84"/>
      <c r="KTH24" s="84"/>
      <c r="KTI24" s="84"/>
      <c r="KTJ24" s="84"/>
      <c r="KTK24" s="84"/>
      <c r="KTL24" s="84"/>
      <c r="KTM24" s="84"/>
      <c r="KTN24" s="84"/>
      <c r="KTO24" s="84"/>
      <c r="KTP24" s="84"/>
      <c r="KTQ24" s="84"/>
      <c r="KTR24" s="84"/>
      <c r="KTS24" s="84"/>
      <c r="KTT24" s="84"/>
      <c r="KTU24" s="84"/>
      <c r="KTV24" s="84"/>
      <c r="KTW24" s="84"/>
      <c r="KTX24" s="84"/>
      <c r="KTY24" s="84"/>
      <c r="KTZ24" s="84"/>
      <c r="KUA24" s="84"/>
      <c r="KUB24" s="84"/>
      <c r="KUC24" s="84"/>
      <c r="KUD24" s="84"/>
      <c r="KUE24" s="84"/>
      <c r="KUF24" s="84"/>
      <c r="KUG24" s="84"/>
      <c r="KUH24" s="84"/>
      <c r="KUI24" s="84"/>
      <c r="KUJ24" s="84"/>
      <c r="KUK24" s="84"/>
      <c r="KUL24" s="84"/>
      <c r="KUM24" s="84"/>
      <c r="KUN24" s="84"/>
      <c r="KUO24" s="84"/>
      <c r="KUP24" s="84"/>
      <c r="KUQ24" s="84"/>
      <c r="KUR24" s="84"/>
      <c r="KUS24" s="84"/>
      <c r="KUT24" s="84"/>
      <c r="KUU24" s="84"/>
      <c r="KUV24" s="84"/>
      <c r="KUW24" s="84"/>
      <c r="KUX24" s="84"/>
      <c r="KUY24" s="84"/>
      <c r="KUZ24" s="84"/>
      <c r="KVA24" s="84"/>
      <c r="KVB24" s="84"/>
      <c r="KVC24" s="84"/>
      <c r="KVD24" s="84"/>
      <c r="KVE24" s="84"/>
      <c r="KVF24" s="84"/>
      <c r="KVG24" s="84"/>
      <c r="KVH24" s="84"/>
      <c r="KVI24" s="84"/>
      <c r="KVJ24" s="84"/>
      <c r="KVK24" s="84"/>
      <c r="KVL24" s="84"/>
      <c r="KVM24" s="84"/>
      <c r="KVN24" s="84"/>
      <c r="KVO24" s="84"/>
      <c r="KVP24" s="84"/>
      <c r="KVQ24" s="84"/>
      <c r="KVR24" s="84"/>
      <c r="KVS24" s="84"/>
      <c r="KVT24" s="84"/>
      <c r="KVU24" s="84"/>
      <c r="KVV24" s="84"/>
      <c r="KVW24" s="84"/>
      <c r="KVX24" s="84"/>
      <c r="KVY24" s="84"/>
      <c r="KVZ24" s="84"/>
      <c r="KWA24" s="84"/>
      <c r="KWB24" s="84"/>
      <c r="KWC24" s="84"/>
      <c r="KWD24" s="84"/>
      <c r="KWE24" s="84"/>
      <c r="KWF24" s="84"/>
      <c r="KWG24" s="84"/>
      <c r="KWH24" s="84"/>
      <c r="KWI24" s="84"/>
      <c r="KWJ24" s="84"/>
      <c r="KWK24" s="84"/>
      <c r="KWL24" s="84"/>
      <c r="KWM24" s="84"/>
      <c r="KWN24" s="84"/>
      <c r="KWO24" s="84"/>
      <c r="KWP24" s="84"/>
      <c r="KWQ24" s="84"/>
      <c r="KWR24" s="84"/>
      <c r="KWS24" s="84"/>
      <c r="KWT24" s="84"/>
      <c r="KWU24" s="84"/>
      <c r="KWV24" s="84"/>
      <c r="KWW24" s="84"/>
      <c r="KWX24" s="84"/>
      <c r="KWY24" s="84"/>
      <c r="KWZ24" s="84"/>
      <c r="KXA24" s="84"/>
      <c r="KXB24" s="84"/>
      <c r="KXC24" s="84"/>
      <c r="KXD24" s="84"/>
      <c r="KXE24" s="84"/>
      <c r="KXF24" s="84"/>
      <c r="KXG24" s="84"/>
      <c r="KXH24" s="84"/>
      <c r="KXI24" s="84"/>
      <c r="KXJ24" s="84"/>
      <c r="KXK24" s="84"/>
      <c r="KXL24" s="84"/>
      <c r="KXM24" s="84"/>
      <c r="KXN24" s="84"/>
      <c r="KXO24" s="84"/>
      <c r="KXP24" s="84"/>
      <c r="KXQ24" s="84"/>
      <c r="KXR24" s="84"/>
      <c r="KXS24" s="84"/>
      <c r="KXT24" s="84"/>
      <c r="KXU24" s="84"/>
      <c r="KXV24" s="84"/>
      <c r="KXW24" s="84"/>
      <c r="KXX24" s="84"/>
      <c r="KXY24" s="84"/>
      <c r="KXZ24" s="84"/>
      <c r="KYA24" s="84"/>
      <c r="KYB24" s="84"/>
      <c r="KYC24" s="84"/>
      <c r="KYD24" s="84"/>
      <c r="KYE24" s="84"/>
      <c r="KYF24" s="84"/>
      <c r="KYG24" s="84"/>
      <c r="KYH24" s="84"/>
      <c r="KYI24" s="84"/>
      <c r="KYJ24" s="84"/>
      <c r="KYK24" s="84"/>
      <c r="KYL24" s="84"/>
      <c r="KYM24" s="84"/>
      <c r="KYN24" s="84"/>
      <c r="KYO24" s="84"/>
      <c r="KYP24" s="84"/>
      <c r="KYQ24" s="84"/>
      <c r="KYR24" s="84"/>
      <c r="KYS24" s="84"/>
      <c r="KYT24" s="84"/>
      <c r="KYU24" s="84"/>
      <c r="KYV24" s="84"/>
      <c r="KYW24" s="84"/>
      <c r="KYX24" s="84"/>
      <c r="KYY24" s="84"/>
      <c r="KYZ24" s="84"/>
      <c r="KZA24" s="84"/>
      <c r="KZB24" s="84"/>
      <c r="KZC24" s="84"/>
      <c r="KZD24" s="84"/>
      <c r="KZE24" s="84"/>
      <c r="KZF24" s="84"/>
      <c r="KZG24" s="84"/>
      <c r="KZH24" s="84"/>
      <c r="KZI24" s="84"/>
      <c r="KZJ24" s="84"/>
      <c r="KZK24" s="84"/>
      <c r="KZL24" s="84"/>
      <c r="KZM24" s="84"/>
      <c r="KZN24" s="84"/>
      <c r="KZO24" s="84"/>
      <c r="KZP24" s="84"/>
      <c r="KZQ24" s="84"/>
      <c r="KZR24" s="84"/>
      <c r="KZS24" s="84"/>
      <c r="KZT24" s="84"/>
      <c r="KZU24" s="84"/>
      <c r="KZV24" s="84"/>
      <c r="KZW24" s="84"/>
      <c r="KZX24" s="84"/>
      <c r="KZY24" s="84"/>
      <c r="KZZ24" s="84"/>
      <c r="LAA24" s="84"/>
      <c r="LAB24" s="84"/>
      <c r="LAC24" s="84"/>
      <c r="LAD24" s="84"/>
      <c r="LAE24" s="84"/>
      <c r="LAF24" s="84"/>
      <c r="LAG24" s="84"/>
      <c r="LAH24" s="84"/>
      <c r="LAI24" s="84"/>
      <c r="LAJ24" s="84"/>
      <c r="LAK24" s="84"/>
      <c r="LAL24" s="84"/>
      <c r="LAM24" s="84"/>
      <c r="LAN24" s="84"/>
      <c r="LAO24" s="84"/>
      <c r="LAP24" s="84"/>
      <c r="LAQ24" s="84"/>
      <c r="LAR24" s="84"/>
      <c r="LAS24" s="84"/>
      <c r="LAT24" s="84"/>
      <c r="LAU24" s="84"/>
      <c r="LAV24" s="84"/>
      <c r="LAW24" s="84"/>
      <c r="LAX24" s="84"/>
      <c r="LAY24" s="84"/>
      <c r="LAZ24" s="84"/>
      <c r="LBA24" s="84"/>
      <c r="LBB24" s="84"/>
      <c r="LBC24" s="84"/>
      <c r="LBD24" s="84"/>
      <c r="LBE24" s="84"/>
      <c r="LBF24" s="84"/>
      <c r="LBG24" s="84"/>
      <c r="LBH24" s="84"/>
      <c r="LBI24" s="84"/>
      <c r="LBJ24" s="84"/>
      <c r="LBK24" s="84"/>
      <c r="LBL24" s="84"/>
      <c r="LBM24" s="84"/>
      <c r="LBN24" s="84"/>
      <c r="LBO24" s="84"/>
      <c r="LBP24" s="84"/>
      <c r="LBQ24" s="84"/>
      <c r="LBR24" s="84"/>
      <c r="LBS24" s="84"/>
      <c r="LBT24" s="84"/>
      <c r="LBU24" s="84"/>
      <c r="LBV24" s="84"/>
      <c r="LBW24" s="84"/>
      <c r="LBX24" s="84"/>
      <c r="LBY24" s="84"/>
      <c r="LBZ24" s="84"/>
      <c r="LCA24" s="84"/>
      <c r="LCB24" s="84"/>
      <c r="LCC24" s="84"/>
      <c r="LCD24" s="84"/>
      <c r="LCE24" s="84"/>
      <c r="LCF24" s="84"/>
      <c r="LCG24" s="84"/>
      <c r="LCH24" s="84"/>
      <c r="LCI24" s="84"/>
      <c r="LCJ24" s="84"/>
      <c r="LCK24" s="84"/>
      <c r="LCL24" s="84"/>
      <c r="LCM24" s="84"/>
      <c r="LCN24" s="84"/>
      <c r="LCO24" s="84"/>
      <c r="LCP24" s="84"/>
      <c r="LCQ24" s="84"/>
      <c r="LCR24" s="84"/>
      <c r="LCS24" s="84"/>
      <c r="LCT24" s="84"/>
      <c r="LCU24" s="84"/>
      <c r="LCV24" s="84"/>
      <c r="LCW24" s="84"/>
      <c r="LCX24" s="84"/>
      <c r="LCY24" s="84"/>
      <c r="LCZ24" s="84"/>
      <c r="LDA24" s="84"/>
      <c r="LDB24" s="84"/>
      <c r="LDC24" s="84"/>
      <c r="LDD24" s="84"/>
      <c r="LDE24" s="84"/>
      <c r="LDF24" s="84"/>
      <c r="LDG24" s="84"/>
      <c r="LDH24" s="84"/>
      <c r="LDI24" s="84"/>
      <c r="LDJ24" s="84"/>
      <c r="LDK24" s="84"/>
      <c r="LDL24" s="84"/>
      <c r="LDM24" s="84"/>
      <c r="LDN24" s="84"/>
      <c r="LDO24" s="84"/>
      <c r="LDP24" s="84"/>
      <c r="LDQ24" s="84"/>
      <c r="LDR24" s="84"/>
      <c r="LDS24" s="84"/>
      <c r="LDT24" s="84"/>
      <c r="LDU24" s="84"/>
      <c r="LDV24" s="84"/>
      <c r="LDW24" s="84"/>
      <c r="LDX24" s="84"/>
      <c r="LDY24" s="84"/>
      <c r="LDZ24" s="84"/>
      <c r="LEA24" s="84"/>
      <c r="LEB24" s="84"/>
      <c r="LEC24" s="84"/>
      <c r="LED24" s="84"/>
      <c r="LEE24" s="84"/>
      <c r="LEF24" s="84"/>
      <c r="LEG24" s="84"/>
      <c r="LEH24" s="84"/>
      <c r="LEI24" s="84"/>
      <c r="LEJ24" s="84"/>
      <c r="LEK24" s="84"/>
      <c r="LEL24" s="84"/>
      <c r="LEM24" s="84"/>
      <c r="LEN24" s="84"/>
      <c r="LEO24" s="84"/>
      <c r="LEP24" s="84"/>
      <c r="LEQ24" s="84"/>
      <c r="LER24" s="84"/>
      <c r="LES24" s="84"/>
      <c r="LET24" s="84"/>
      <c r="LEU24" s="84"/>
      <c r="LEV24" s="84"/>
      <c r="LEW24" s="84"/>
      <c r="LEX24" s="84"/>
      <c r="LEY24" s="84"/>
      <c r="LEZ24" s="84"/>
      <c r="LFA24" s="84"/>
      <c r="LFB24" s="84"/>
      <c r="LFC24" s="84"/>
      <c r="LFD24" s="84"/>
      <c r="LFE24" s="84"/>
      <c r="LFF24" s="84"/>
      <c r="LFG24" s="84"/>
      <c r="LFH24" s="84"/>
      <c r="LFI24" s="84"/>
      <c r="LFJ24" s="84"/>
      <c r="LFK24" s="84"/>
      <c r="LFL24" s="84"/>
      <c r="LFM24" s="84"/>
      <c r="LFN24" s="84"/>
      <c r="LFO24" s="84"/>
      <c r="LFP24" s="84"/>
      <c r="LFQ24" s="84"/>
      <c r="LFR24" s="84"/>
      <c r="LFS24" s="84"/>
      <c r="LFT24" s="84"/>
      <c r="LFU24" s="84"/>
      <c r="LFV24" s="84"/>
      <c r="LFW24" s="84"/>
      <c r="LFX24" s="84"/>
      <c r="LFY24" s="84"/>
      <c r="LFZ24" s="84"/>
      <c r="LGA24" s="84"/>
      <c r="LGB24" s="84"/>
      <c r="LGC24" s="84"/>
      <c r="LGD24" s="84"/>
      <c r="LGE24" s="84"/>
      <c r="LGF24" s="84"/>
      <c r="LGG24" s="84"/>
      <c r="LGH24" s="84"/>
      <c r="LGI24" s="84"/>
      <c r="LGJ24" s="84"/>
      <c r="LGK24" s="84"/>
      <c r="LGL24" s="84"/>
      <c r="LGM24" s="84"/>
      <c r="LGN24" s="84"/>
      <c r="LGO24" s="84"/>
      <c r="LGP24" s="84"/>
      <c r="LGQ24" s="84"/>
      <c r="LGR24" s="84"/>
      <c r="LGS24" s="84"/>
      <c r="LGT24" s="84"/>
      <c r="LGU24" s="84"/>
      <c r="LGV24" s="84"/>
      <c r="LGW24" s="84"/>
      <c r="LGX24" s="84"/>
      <c r="LGY24" s="84"/>
      <c r="LGZ24" s="84"/>
      <c r="LHA24" s="84"/>
      <c r="LHB24" s="84"/>
      <c r="LHC24" s="84"/>
      <c r="LHD24" s="84"/>
      <c r="LHE24" s="84"/>
      <c r="LHF24" s="84"/>
      <c r="LHG24" s="84"/>
      <c r="LHH24" s="84"/>
      <c r="LHI24" s="84"/>
      <c r="LHJ24" s="84"/>
      <c r="LHK24" s="84"/>
      <c r="LHL24" s="84"/>
      <c r="LHM24" s="84"/>
      <c r="LHN24" s="84"/>
      <c r="LHO24" s="84"/>
      <c r="LHP24" s="84"/>
      <c r="LHQ24" s="84"/>
      <c r="LHR24" s="84"/>
      <c r="LHS24" s="84"/>
      <c r="LHT24" s="84"/>
      <c r="LHU24" s="84"/>
      <c r="LHV24" s="84"/>
      <c r="LHW24" s="84"/>
      <c r="LHX24" s="84"/>
      <c r="LHY24" s="84"/>
      <c r="LHZ24" s="84"/>
      <c r="LIA24" s="84"/>
      <c r="LIB24" s="84"/>
      <c r="LIC24" s="84"/>
      <c r="LID24" s="84"/>
      <c r="LIE24" s="84"/>
      <c r="LIF24" s="84"/>
      <c r="LIG24" s="84"/>
      <c r="LIH24" s="84"/>
      <c r="LII24" s="84"/>
      <c r="LIJ24" s="84"/>
      <c r="LIK24" s="84"/>
      <c r="LIL24" s="84"/>
      <c r="LIM24" s="84"/>
      <c r="LIN24" s="84"/>
      <c r="LIO24" s="84"/>
      <c r="LIP24" s="84"/>
      <c r="LIQ24" s="84"/>
      <c r="LIR24" s="84"/>
      <c r="LIS24" s="84"/>
      <c r="LIT24" s="84"/>
      <c r="LIU24" s="84"/>
      <c r="LIV24" s="84"/>
      <c r="LIW24" s="84"/>
      <c r="LIX24" s="84"/>
      <c r="LIY24" s="84"/>
      <c r="LIZ24" s="84"/>
      <c r="LJA24" s="84"/>
      <c r="LJB24" s="84"/>
      <c r="LJC24" s="84"/>
      <c r="LJD24" s="84"/>
      <c r="LJE24" s="84"/>
      <c r="LJF24" s="84"/>
      <c r="LJG24" s="84"/>
      <c r="LJH24" s="84"/>
      <c r="LJI24" s="84"/>
      <c r="LJJ24" s="84"/>
      <c r="LJK24" s="84"/>
      <c r="LJL24" s="84"/>
      <c r="LJM24" s="84"/>
      <c r="LJN24" s="84"/>
      <c r="LJO24" s="84"/>
      <c r="LJP24" s="84"/>
      <c r="LJQ24" s="84"/>
      <c r="LJR24" s="84"/>
      <c r="LJS24" s="84"/>
      <c r="LJT24" s="84"/>
      <c r="LJU24" s="84"/>
      <c r="LJV24" s="84"/>
      <c r="LJW24" s="84"/>
      <c r="LJX24" s="84"/>
      <c r="LJY24" s="84"/>
      <c r="LJZ24" s="84"/>
      <c r="LKA24" s="84"/>
      <c r="LKB24" s="84"/>
      <c r="LKC24" s="84"/>
      <c r="LKD24" s="84"/>
      <c r="LKE24" s="84"/>
      <c r="LKF24" s="84"/>
      <c r="LKG24" s="84"/>
      <c r="LKH24" s="84"/>
      <c r="LKI24" s="84"/>
      <c r="LKJ24" s="84"/>
      <c r="LKK24" s="84"/>
      <c r="LKL24" s="84"/>
      <c r="LKM24" s="84"/>
      <c r="LKN24" s="84"/>
      <c r="LKO24" s="84"/>
      <c r="LKP24" s="84"/>
      <c r="LKQ24" s="84"/>
      <c r="LKR24" s="84"/>
      <c r="LKS24" s="84"/>
      <c r="LKT24" s="84"/>
      <c r="LKU24" s="84"/>
      <c r="LKV24" s="84"/>
      <c r="LKW24" s="84"/>
      <c r="LKX24" s="84"/>
      <c r="LKY24" s="84"/>
      <c r="LKZ24" s="84"/>
      <c r="LLA24" s="84"/>
      <c r="LLB24" s="84"/>
      <c r="LLC24" s="84"/>
      <c r="LLD24" s="84"/>
      <c r="LLE24" s="84"/>
      <c r="LLF24" s="84"/>
      <c r="LLG24" s="84"/>
      <c r="LLH24" s="84"/>
      <c r="LLI24" s="84"/>
      <c r="LLJ24" s="84"/>
      <c r="LLK24" s="84"/>
      <c r="LLL24" s="84"/>
      <c r="LLM24" s="84"/>
      <c r="LLN24" s="84"/>
      <c r="LLO24" s="84"/>
      <c r="LLP24" s="84"/>
      <c r="LLQ24" s="84"/>
      <c r="LLR24" s="84"/>
      <c r="LLS24" s="84"/>
      <c r="LLT24" s="84"/>
      <c r="LLU24" s="84"/>
      <c r="LLV24" s="84"/>
      <c r="LLW24" s="84"/>
      <c r="LLX24" s="84"/>
      <c r="LLY24" s="84"/>
      <c r="LLZ24" s="84"/>
      <c r="LMA24" s="84"/>
      <c r="LMB24" s="84"/>
      <c r="LMC24" s="84"/>
      <c r="LMD24" s="84"/>
      <c r="LME24" s="84"/>
      <c r="LMF24" s="84"/>
      <c r="LMG24" s="84"/>
      <c r="LMH24" s="84"/>
      <c r="LMI24" s="84"/>
      <c r="LMJ24" s="84"/>
      <c r="LMK24" s="84"/>
      <c r="LML24" s="84"/>
      <c r="LMM24" s="84"/>
      <c r="LMN24" s="84"/>
      <c r="LMO24" s="84"/>
      <c r="LMP24" s="84"/>
      <c r="LMQ24" s="84"/>
      <c r="LMR24" s="84"/>
      <c r="LMS24" s="84"/>
      <c r="LMT24" s="84"/>
      <c r="LMU24" s="84"/>
      <c r="LMV24" s="84"/>
      <c r="LMW24" s="84"/>
      <c r="LMX24" s="84"/>
      <c r="LMY24" s="84"/>
      <c r="LMZ24" s="84"/>
      <c r="LNA24" s="84"/>
      <c r="LNB24" s="84"/>
      <c r="LNC24" s="84"/>
      <c r="LND24" s="84"/>
      <c r="LNE24" s="84"/>
      <c r="LNF24" s="84"/>
      <c r="LNG24" s="84"/>
      <c r="LNH24" s="84"/>
      <c r="LNI24" s="84"/>
      <c r="LNJ24" s="84"/>
      <c r="LNK24" s="84"/>
      <c r="LNL24" s="84"/>
      <c r="LNM24" s="84"/>
      <c r="LNN24" s="84"/>
      <c r="LNO24" s="84"/>
      <c r="LNP24" s="84"/>
      <c r="LNQ24" s="84"/>
      <c r="LNR24" s="84"/>
      <c r="LNS24" s="84"/>
      <c r="LNT24" s="84"/>
      <c r="LNU24" s="84"/>
      <c r="LNV24" s="84"/>
      <c r="LNW24" s="84"/>
      <c r="LNX24" s="84"/>
      <c r="LNY24" s="84"/>
      <c r="LNZ24" s="84"/>
      <c r="LOA24" s="84"/>
      <c r="LOB24" s="84"/>
      <c r="LOC24" s="84"/>
      <c r="LOD24" s="84"/>
      <c r="LOE24" s="84"/>
      <c r="LOF24" s="84"/>
      <c r="LOG24" s="84"/>
      <c r="LOH24" s="84"/>
      <c r="LOI24" s="84"/>
      <c r="LOJ24" s="84"/>
      <c r="LOK24" s="84"/>
      <c r="LOL24" s="84"/>
      <c r="LOM24" s="84"/>
      <c r="LON24" s="84"/>
      <c r="LOO24" s="84"/>
      <c r="LOP24" s="84"/>
      <c r="LOQ24" s="84"/>
      <c r="LOR24" s="84"/>
      <c r="LOS24" s="84"/>
      <c r="LOT24" s="84"/>
      <c r="LOU24" s="84"/>
      <c r="LOV24" s="84"/>
      <c r="LOW24" s="84"/>
      <c r="LOX24" s="84"/>
      <c r="LOY24" s="84"/>
      <c r="LOZ24" s="84"/>
      <c r="LPA24" s="84"/>
      <c r="LPB24" s="84"/>
      <c r="LPC24" s="84"/>
      <c r="LPD24" s="84"/>
      <c r="LPE24" s="84"/>
      <c r="LPF24" s="84"/>
      <c r="LPG24" s="84"/>
      <c r="LPH24" s="84"/>
      <c r="LPI24" s="84"/>
      <c r="LPJ24" s="84"/>
      <c r="LPK24" s="84"/>
      <c r="LPL24" s="84"/>
      <c r="LPM24" s="84"/>
      <c r="LPN24" s="84"/>
      <c r="LPO24" s="84"/>
      <c r="LPP24" s="84"/>
      <c r="LPQ24" s="84"/>
      <c r="LPR24" s="84"/>
      <c r="LPS24" s="84"/>
      <c r="LPT24" s="84"/>
      <c r="LPU24" s="84"/>
      <c r="LPV24" s="84"/>
      <c r="LPW24" s="84"/>
      <c r="LPX24" s="84"/>
      <c r="LPY24" s="84"/>
      <c r="LPZ24" s="84"/>
      <c r="LQA24" s="84"/>
      <c r="LQB24" s="84"/>
      <c r="LQC24" s="84"/>
      <c r="LQD24" s="84"/>
      <c r="LQE24" s="84"/>
      <c r="LQF24" s="84"/>
      <c r="LQG24" s="84"/>
      <c r="LQH24" s="84"/>
      <c r="LQI24" s="84"/>
      <c r="LQJ24" s="84"/>
      <c r="LQK24" s="84"/>
      <c r="LQL24" s="84"/>
      <c r="LQM24" s="84"/>
      <c r="LQN24" s="84"/>
      <c r="LQO24" s="84"/>
      <c r="LQP24" s="84"/>
      <c r="LQQ24" s="84"/>
      <c r="LQR24" s="84"/>
      <c r="LQS24" s="84"/>
      <c r="LQT24" s="84"/>
      <c r="LQU24" s="84"/>
      <c r="LQV24" s="84"/>
      <c r="LQW24" s="84"/>
      <c r="LQX24" s="84"/>
      <c r="LQY24" s="84"/>
      <c r="LQZ24" s="84"/>
      <c r="LRA24" s="84"/>
      <c r="LRB24" s="84"/>
      <c r="LRC24" s="84"/>
      <c r="LRD24" s="84"/>
      <c r="LRE24" s="84"/>
      <c r="LRF24" s="84"/>
      <c r="LRG24" s="84"/>
      <c r="LRH24" s="84"/>
      <c r="LRI24" s="84"/>
      <c r="LRJ24" s="84"/>
      <c r="LRK24" s="84"/>
      <c r="LRL24" s="84"/>
      <c r="LRM24" s="84"/>
      <c r="LRN24" s="84"/>
      <c r="LRO24" s="84"/>
      <c r="LRP24" s="84"/>
      <c r="LRQ24" s="84"/>
      <c r="LRR24" s="84"/>
      <c r="LRS24" s="84"/>
      <c r="LRT24" s="84"/>
      <c r="LRU24" s="84"/>
      <c r="LRV24" s="84"/>
      <c r="LRW24" s="84"/>
      <c r="LRX24" s="84"/>
      <c r="LRY24" s="84"/>
      <c r="LRZ24" s="84"/>
      <c r="LSA24" s="84"/>
      <c r="LSB24" s="84"/>
      <c r="LSC24" s="84"/>
      <c r="LSD24" s="84"/>
      <c r="LSE24" s="84"/>
      <c r="LSF24" s="84"/>
      <c r="LSG24" s="84"/>
      <c r="LSH24" s="84"/>
      <c r="LSI24" s="84"/>
      <c r="LSJ24" s="84"/>
      <c r="LSK24" s="84"/>
      <c r="LSL24" s="84"/>
      <c r="LSM24" s="84"/>
      <c r="LSN24" s="84"/>
      <c r="LSO24" s="84"/>
      <c r="LSP24" s="84"/>
      <c r="LSQ24" s="84"/>
      <c r="LSR24" s="84"/>
      <c r="LSS24" s="84"/>
      <c r="LST24" s="84"/>
      <c r="LSU24" s="84"/>
      <c r="LSV24" s="84"/>
      <c r="LSW24" s="84"/>
      <c r="LSX24" s="84"/>
      <c r="LSY24" s="84"/>
      <c r="LSZ24" s="84"/>
      <c r="LTA24" s="84"/>
      <c r="LTB24" s="84"/>
      <c r="LTC24" s="84"/>
      <c r="LTD24" s="84"/>
      <c r="LTE24" s="84"/>
      <c r="LTF24" s="84"/>
      <c r="LTG24" s="84"/>
      <c r="LTH24" s="84"/>
      <c r="LTI24" s="84"/>
      <c r="LTJ24" s="84"/>
      <c r="LTK24" s="84"/>
      <c r="LTL24" s="84"/>
      <c r="LTM24" s="84"/>
      <c r="LTN24" s="84"/>
      <c r="LTO24" s="84"/>
      <c r="LTP24" s="84"/>
      <c r="LTQ24" s="84"/>
      <c r="LTR24" s="84"/>
      <c r="LTS24" s="84"/>
      <c r="LTT24" s="84"/>
      <c r="LTU24" s="84"/>
      <c r="LTV24" s="84"/>
      <c r="LTW24" s="84"/>
      <c r="LTX24" s="84"/>
      <c r="LTY24" s="84"/>
      <c r="LTZ24" s="84"/>
      <c r="LUA24" s="84"/>
      <c r="LUB24" s="84"/>
      <c r="LUC24" s="84"/>
      <c r="LUD24" s="84"/>
      <c r="LUE24" s="84"/>
      <c r="LUF24" s="84"/>
      <c r="LUG24" s="84"/>
      <c r="LUH24" s="84"/>
      <c r="LUI24" s="84"/>
      <c r="LUJ24" s="84"/>
      <c r="LUK24" s="84"/>
      <c r="LUL24" s="84"/>
      <c r="LUM24" s="84"/>
      <c r="LUN24" s="84"/>
      <c r="LUO24" s="84"/>
      <c r="LUP24" s="84"/>
      <c r="LUQ24" s="84"/>
      <c r="LUR24" s="84"/>
      <c r="LUS24" s="84"/>
      <c r="LUT24" s="84"/>
      <c r="LUU24" s="84"/>
      <c r="LUV24" s="84"/>
      <c r="LUW24" s="84"/>
      <c r="LUX24" s="84"/>
      <c r="LUY24" s="84"/>
      <c r="LUZ24" s="84"/>
      <c r="LVA24" s="84"/>
      <c r="LVB24" s="84"/>
      <c r="LVC24" s="84"/>
      <c r="LVD24" s="84"/>
      <c r="LVE24" s="84"/>
      <c r="LVF24" s="84"/>
      <c r="LVG24" s="84"/>
      <c r="LVH24" s="84"/>
      <c r="LVI24" s="84"/>
      <c r="LVJ24" s="84"/>
      <c r="LVK24" s="84"/>
      <c r="LVL24" s="84"/>
      <c r="LVM24" s="84"/>
      <c r="LVN24" s="84"/>
      <c r="LVO24" s="84"/>
      <c r="LVP24" s="84"/>
      <c r="LVQ24" s="84"/>
      <c r="LVR24" s="84"/>
      <c r="LVS24" s="84"/>
      <c r="LVT24" s="84"/>
      <c r="LVU24" s="84"/>
      <c r="LVV24" s="84"/>
      <c r="LVW24" s="84"/>
      <c r="LVX24" s="84"/>
      <c r="LVY24" s="84"/>
      <c r="LVZ24" s="84"/>
      <c r="LWA24" s="84"/>
      <c r="LWB24" s="84"/>
      <c r="LWC24" s="84"/>
      <c r="LWD24" s="84"/>
      <c r="LWE24" s="84"/>
      <c r="LWF24" s="84"/>
      <c r="LWG24" s="84"/>
      <c r="LWH24" s="84"/>
      <c r="LWI24" s="84"/>
      <c r="LWJ24" s="84"/>
      <c r="LWK24" s="84"/>
      <c r="LWL24" s="84"/>
      <c r="LWM24" s="84"/>
      <c r="LWN24" s="84"/>
      <c r="LWO24" s="84"/>
      <c r="LWP24" s="84"/>
      <c r="LWQ24" s="84"/>
      <c r="LWR24" s="84"/>
      <c r="LWS24" s="84"/>
      <c r="LWT24" s="84"/>
      <c r="LWU24" s="84"/>
      <c r="LWV24" s="84"/>
      <c r="LWW24" s="84"/>
      <c r="LWX24" s="84"/>
      <c r="LWY24" s="84"/>
      <c r="LWZ24" s="84"/>
      <c r="LXA24" s="84"/>
      <c r="LXB24" s="84"/>
      <c r="LXC24" s="84"/>
      <c r="LXD24" s="84"/>
      <c r="LXE24" s="84"/>
      <c r="LXF24" s="84"/>
      <c r="LXG24" s="84"/>
      <c r="LXH24" s="84"/>
      <c r="LXI24" s="84"/>
      <c r="LXJ24" s="84"/>
      <c r="LXK24" s="84"/>
      <c r="LXL24" s="84"/>
      <c r="LXM24" s="84"/>
      <c r="LXN24" s="84"/>
      <c r="LXO24" s="84"/>
      <c r="LXP24" s="84"/>
      <c r="LXQ24" s="84"/>
      <c r="LXR24" s="84"/>
      <c r="LXS24" s="84"/>
      <c r="LXT24" s="84"/>
      <c r="LXU24" s="84"/>
      <c r="LXV24" s="84"/>
      <c r="LXW24" s="84"/>
      <c r="LXX24" s="84"/>
      <c r="LXY24" s="84"/>
      <c r="LXZ24" s="84"/>
      <c r="LYA24" s="84"/>
      <c r="LYB24" s="84"/>
      <c r="LYC24" s="84"/>
      <c r="LYD24" s="84"/>
      <c r="LYE24" s="84"/>
      <c r="LYF24" s="84"/>
      <c r="LYG24" s="84"/>
      <c r="LYH24" s="84"/>
      <c r="LYI24" s="84"/>
      <c r="LYJ24" s="84"/>
      <c r="LYK24" s="84"/>
      <c r="LYL24" s="84"/>
      <c r="LYM24" s="84"/>
      <c r="LYN24" s="84"/>
      <c r="LYO24" s="84"/>
      <c r="LYP24" s="84"/>
      <c r="LYQ24" s="84"/>
      <c r="LYR24" s="84"/>
      <c r="LYS24" s="84"/>
      <c r="LYT24" s="84"/>
      <c r="LYU24" s="84"/>
      <c r="LYV24" s="84"/>
      <c r="LYW24" s="84"/>
      <c r="LYX24" s="84"/>
      <c r="LYY24" s="84"/>
      <c r="LYZ24" s="84"/>
      <c r="LZA24" s="84"/>
      <c r="LZB24" s="84"/>
      <c r="LZC24" s="84"/>
      <c r="LZD24" s="84"/>
      <c r="LZE24" s="84"/>
      <c r="LZF24" s="84"/>
      <c r="LZG24" s="84"/>
      <c r="LZH24" s="84"/>
      <c r="LZI24" s="84"/>
      <c r="LZJ24" s="84"/>
      <c r="LZK24" s="84"/>
      <c r="LZL24" s="84"/>
      <c r="LZM24" s="84"/>
      <c r="LZN24" s="84"/>
      <c r="LZO24" s="84"/>
      <c r="LZP24" s="84"/>
      <c r="LZQ24" s="84"/>
      <c r="LZR24" s="84"/>
      <c r="LZS24" s="84"/>
      <c r="LZT24" s="84"/>
      <c r="LZU24" s="84"/>
      <c r="LZV24" s="84"/>
      <c r="LZW24" s="84"/>
      <c r="LZX24" s="84"/>
      <c r="LZY24" s="84"/>
      <c r="LZZ24" s="84"/>
      <c r="MAA24" s="84"/>
      <c r="MAB24" s="84"/>
      <c r="MAC24" s="84"/>
      <c r="MAD24" s="84"/>
      <c r="MAE24" s="84"/>
      <c r="MAF24" s="84"/>
      <c r="MAG24" s="84"/>
      <c r="MAH24" s="84"/>
      <c r="MAI24" s="84"/>
      <c r="MAJ24" s="84"/>
      <c r="MAK24" s="84"/>
      <c r="MAL24" s="84"/>
      <c r="MAM24" s="84"/>
      <c r="MAN24" s="84"/>
      <c r="MAO24" s="84"/>
      <c r="MAP24" s="84"/>
      <c r="MAQ24" s="84"/>
      <c r="MAR24" s="84"/>
      <c r="MAS24" s="84"/>
      <c r="MAT24" s="84"/>
      <c r="MAU24" s="84"/>
      <c r="MAV24" s="84"/>
      <c r="MAW24" s="84"/>
      <c r="MAX24" s="84"/>
      <c r="MAY24" s="84"/>
      <c r="MAZ24" s="84"/>
      <c r="MBA24" s="84"/>
      <c r="MBB24" s="84"/>
      <c r="MBC24" s="84"/>
      <c r="MBD24" s="84"/>
      <c r="MBE24" s="84"/>
      <c r="MBF24" s="84"/>
      <c r="MBG24" s="84"/>
      <c r="MBH24" s="84"/>
      <c r="MBI24" s="84"/>
      <c r="MBJ24" s="84"/>
      <c r="MBK24" s="84"/>
      <c r="MBL24" s="84"/>
      <c r="MBM24" s="84"/>
      <c r="MBN24" s="84"/>
      <c r="MBO24" s="84"/>
      <c r="MBP24" s="84"/>
      <c r="MBQ24" s="84"/>
      <c r="MBR24" s="84"/>
      <c r="MBS24" s="84"/>
      <c r="MBT24" s="84"/>
      <c r="MBU24" s="84"/>
      <c r="MBV24" s="84"/>
      <c r="MBW24" s="84"/>
      <c r="MBX24" s="84"/>
      <c r="MBY24" s="84"/>
      <c r="MBZ24" s="84"/>
      <c r="MCA24" s="84"/>
      <c r="MCB24" s="84"/>
      <c r="MCC24" s="84"/>
      <c r="MCD24" s="84"/>
      <c r="MCE24" s="84"/>
      <c r="MCF24" s="84"/>
      <c r="MCG24" s="84"/>
      <c r="MCH24" s="84"/>
      <c r="MCI24" s="84"/>
      <c r="MCJ24" s="84"/>
      <c r="MCK24" s="84"/>
      <c r="MCL24" s="84"/>
      <c r="MCM24" s="84"/>
      <c r="MCN24" s="84"/>
      <c r="MCO24" s="84"/>
      <c r="MCP24" s="84"/>
      <c r="MCQ24" s="84"/>
      <c r="MCR24" s="84"/>
      <c r="MCS24" s="84"/>
      <c r="MCT24" s="84"/>
      <c r="MCU24" s="84"/>
      <c r="MCV24" s="84"/>
      <c r="MCW24" s="84"/>
      <c r="MCX24" s="84"/>
      <c r="MCY24" s="84"/>
      <c r="MCZ24" s="84"/>
      <c r="MDA24" s="84"/>
      <c r="MDB24" s="84"/>
      <c r="MDC24" s="84"/>
      <c r="MDD24" s="84"/>
      <c r="MDE24" s="84"/>
      <c r="MDF24" s="84"/>
      <c r="MDG24" s="84"/>
      <c r="MDH24" s="84"/>
      <c r="MDI24" s="84"/>
      <c r="MDJ24" s="84"/>
      <c r="MDK24" s="84"/>
      <c r="MDL24" s="84"/>
      <c r="MDM24" s="84"/>
      <c r="MDN24" s="84"/>
      <c r="MDO24" s="84"/>
      <c r="MDP24" s="84"/>
      <c r="MDQ24" s="84"/>
      <c r="MDR24" s="84"/>
      <c r="MDS24" s="84"/>
      <c r="MDT24" s="84"/>
      <c r="MDU24" s="84"/>
      <c r="MDV24" s="84"/>
      <c r="MDW24" s="84"/>
      <c r="MDX24" s="84"/>
      <c r="MDY24" s="84"/>
      <c r="MDZ24" s="84"/>
      <c r="MEA24" s="84"/>
      <c r="MEB24" s="84"/>
      <c r="MEC24" s="84"/>
      <c r="MED24" s="84"/>
      <c r="MEE24" s="84"/>
      <c r="MEF24" s="84"/>
      <c r="MEG24" s="84"/>
      <c r="MEH24" s="84"/>
      <c r="MEI24" s="84"/>
      <c r="MEJ24" s="84"/>
      <c r="MEK24" s="84"/>
      <c r="MEL24" s="84"/>
      <c r="MEM24" s="84"/>
      <c r="MEN24" s="84"/>
      <c r="MEO24" s="84"/>
      <c r="MEP24" s="84"/>
      <c r="MEQ24" s="84"/>
      <c r="MER24" s="84"/>
      <c r="MES24" s="84"/>
      <c r="MET24" s="84"/>
      <c r="MEU24" s="84"/>
      <c r="MEV24" s="84"/>
      <c r="MEW24" s="84"/>
      <c r="MEX24" s="84"/>
      <c r="MEY24" s="84"/>
      <c r="MEZ24" s="84"/>
      <c r="MFA24" s="84"/>
      <c r="MFB24" s="84"/>
      <c r="MFC24" s="84"/>
      <c r="MFD24" s="84"/>
      <c r="MFE24" s="84"/>
      <c r="MFF24" s="84"/>
      <c r="MFG24" s="84"/>
      <c r="MFH24" s="84"/>
      <c r="MFI24" s="84"/>
      <c r="MFJ24" s="84"/>
      <c r="MFK24" s="84"/>
      <c r="MFL24" s="84"/>
      <c r="MFM24" s="84"/>
      <c r="MFN24" s="84"/>
      <c r="MFO24" s="84"/>
      <c r="MFP24" s="84"/>
      <c r="MFQ24" s="84"/>
      <c r="MFR24" s="84"/>
      <c r="MFS24" s="84"/>
      <c r="MFT24" s="84"/>
      <c r="MFU24" s="84"/>
      <c r="MFV24" s="84"/>
      <c r="MFW24" s="84"/>
      <c r="MFX24" s="84"/>
      <c r="MFY24" s="84"/>
      <c r="MFZ24" s="84"/>
      <c r="MGA24" s="84"/>
      <c r="MGB24" s="84"/>
      <c r="MGC24" s="84"/>
      <c r="MGD24" s="84"/>
      <c r="MGE24" s="84"/>
      <c r="MGF24" s="84"/>
      <c r="MGG24" s="84"/>
      <c r="MGH24" s="84"/>
      <c r="MGI24" s="84"/>
      <c r="MGJ24" s="84"/>
      <c r="MGK24" s="84"/>
      <c r="MGL24" s="84"/>
      <c r="MGM24" s="84"/>
      <c r="MGN24" s="84"/>
      <c r="MGO24" s="84"/>
      <c r="MGP24" s="84"/>
      <c r="MGQ24" s="84"/>
      <c r="MGR24" s="84"/>
      <c r="MGS24" s="84"/>
      <c r="MGT24" s="84"/>
      <c r="MGU24" s="84"/>
      <c r="MGV24" s="84"/>
      <c r="MGW24" s="84"/>
      <c r="MGX24" s="84"/>
      <c r="MGY24" s="84"/>
      <c r="MGZ24" s="84"/>
      <c r="MHA24" s="84"/>
      <c r="MHB24" s="84"/>
      <c r="MHC24" s="84"/>
      <c r="MHD24" s="84"/>
      <c r="MHE24" s="84"/>
      <c r="MHF24" s="84"/>
      <c r="MHG24" s="84"/>
      <c r="MHH24" s="84"/>
      <c r="MHI24" s="84"/>
      <c r="MHJ24" s="84"/>
      <c r="MHK24" s="84"/>
      <c r="MHL24" s="84"/>
      <c r="MHM24" s="84"/>
      <c r="MHN24" s="84"/>
      <c r="MHO24" s="84"/>
      <c r="MHP24" s="84"/>
      <c r="MHQ24" s="84"/>
      <c r="MHR24" s="84"/>
      <c r="MHS24" s="84"/>
      <c r="MHT24" s="84"/>
      <c r="MHU24" s="84"/>
      <c r="MHV24" s="84"/>
      <c r="MHW24" s="84"/>
      <c r="MHX24" s="84"/>
      <c r="MHY24" s="84"/>
      <c r="MHZ24" s="84"/>
      <c r="MIA24" s="84"/>
      <c r="MIB24" s="84"/>
      <c r="MIC24" s="84"/>
      <c r="MID24" s="84"/>
      <c r="MIE24" s="84"/>
      <c r="MIF24" s="84"/>
      <c r="MIG24" s="84"/>
      <c r="MIH24" s="84"/>
      <c r="MII24" s="84"/>
      <c r="MIJ24" s="84"/>
      <c r="MIK24" s="84"/>
      <c r="MIL24" s="84"/>
      <c r="MIM24" s="84"/>
      <c r="MIN24" s="84"/>
      <c r="MIO24" s="84"/>
      <c r="MIP24" s="84"/>
      <c r="MIQ24" s="84"/>
      <c r="MIR24" s="84"/>
      <c r="MIS24" s="84"/>
      <c r="MIT24" s="84"/>
      <c r="MIU24" s="84"/>
      <c r="MIV24" s="84"/>
      <c r="MIW24" s="84"/>
      <c r="MIX24" s="84"/>
      <c r="MIY24" s="84"/>
      <c r="MIZ24" s="84"/>
      <c r="MJA24" s="84"/>
      <c r="MJB24" s="84"/>
      <c r="MJC24" s="84"/>
      <c r="MJD24" s="84"/>
      <c r="MJE24" s="84"/>
      <c r="MJF24" s="84"/>
      <c r="MJG24" s="84"/>
      <c r="MJH24" s="84"/>
      <c r="MJI24" s="84"/>
      <c r="MJJ24" s="84"/>
      <c r="MJK24" s="84"/>
      <c r="MJL24" s="84"/>
      <c r="MJM24" s="84"/>
      <c r="MJN24" s="84"/>
      <c r="MJO24" s="84"/>
      <c r="MJP24" s="84"/>
      <c r="MJQ24" s="84"/>
      <c r="MJR24" s="84"/>
      <c r="MJS24" s="84"/>
      <c r="MJT24" s="84"/>
      <c r="MJU24" s="84"/>
      <c r="MJV24" s="84"/>
      <c r="MJW24" s="84"/>
      <c r="MJX24" s="84"/>
      <c r="MJY24" s="84"/>
      <c r="MJZ24" s="84"/>
      <c r="MKA24" s="84"/>
      <c r="MKB24" s="84"/>
      <c r="MKC24" s="84"/>
      <c r="MKD24" s="84"/>
      <c r="MKE24" s="84"/>
      <c r="MKF24" s="84"/>
      <c r="MKG24" s="84"/>
      <c r="MKH24" s="84"/>
      <c r="MKI24" s="84"/>
      <c r="MKJ24" s="84"/>
      <c r="MKK24" s="84"/>
      <c r="MKL24" s="84"/>
      <c r="MKM24" s="84"/>
      <c r="MKN24" s="84"/>
      <c r="MKO24" s="84"/>
      <c r="MKP24" s="84"/>
      <c r="MKQ24" s="84"/>
      <c r="MKR24" s="84"/>
      <c r="MKS24" s="84"/>
      <c r="MKT24" s="84"/>
      <c r="MKU24" s="84"/>
      <c r="MKV24" s="84"/>
      <c r="MKW24" s="84"/>
      <c r="MKX24" s="84"/>
      <c r="MKY24" s="84"/>
      <c r="MKZ24" s="84"/>
      <c r="MLA24" s="84"/>
      <c r="MLB24" s="84"/>
      <c r="MLC24" s="84"/>
      <c r="MLD24" s="84"/>
      <c r="MLE24" s="84"/>
      <c r="MLF24" s="84"/>
      <c r="MLG24" s="84"/>
      <c r="MLH24" s="84"/>
      <c r="MLI24" s="84"/>
      <c r="MLJ24" s="84"/>
      <c r="MLK24" s="84"/>
      <c r="MLL24" s="84"/>
      <c r="MLM24" s="84"/>
      <c r="MLN24" s="84"/>
      <c r="MLO24" s="84"/>
      <c r="MLP24" s="84"/>
      <c r="MLQ24" s="84"/>
      <c r="MLR24" s="84"/>
      <c r="MLS24" s="84"/>
      <c r="MLT24" s="84"/>
      <c r="MLU24" s="84"/>
      <c r="MLV24" s="84"/>
      <c r="MLW24" s="84"/>
      <c r="MLX24" s="84"/>
      <c r="MLY24" s="84"/>
      <c r="MLZ24" s="84"/>
      <c r="MMA24" s="84"/>
      <c r="MMB24" s="84"/>
      <c r="MMC24" s="84"/>
      <c r="MMD24" s="84"/>
      <c r="MME24" s="84"/>
      <c r="MMF24" s="84"/>
      <c r="MMG24" s="84"/>
      <c r="MMH24" s="84"/>
      <c r="MMI24" s="84"/>
      <c r="MMJ24" s="84"/>
      <c r="MMK24" s="84"/>
      <c r="MML24" s="84"/>
      <c r="MMM24" s="84"/>
      <c r="MMN24" s="84"/>
      <c r="MMO24" s="84"/>
      <c r="MMP24" s="84"/>
      <c r="MMQ24" s="84"/>
      <c r="MMR24" s="84"/>
      <c r="MMS24" s="84"/>
      <c r="MMT24" s="84"/>
      <c r="MMU24" s="84"/>
      <c r="MMV24" s="84"/>
      <c r="MMW24" s="84"/>
      <c r="MMX24" s="84"/>
      <c r="MMY24" s="84"/>
      <c r="MMZ24" s="84"/>
      <c r="MNA24" s="84"/>
      <c r="MNB24" s="84"/>
      <c r="MNC24" s="84"/>
      <c r="MND24" s="84"/>
      <c r="MNE24" s="84"/>
      <c r="MNF24" s="84"/>
      <c r="MNG24" s="84"/>
      <c r="MNH24" s="84"/>
      <c r="MNI24" s="84"/>
      <c r="MNJ24" s="84"/>
      <c r="MNK24" s="84"/>
      <c r="MNL24" s="84"/>
      <c r="MNM24" s="84"/>
      <c r="MNN24" s="84"/>
      <c r="MNO24" s="84"/>
      <c r="MNP24" s="84"/>
      <c r="MNQ24" s="84"/>
      <c r="MNR24" s="84"/>
      <c r="MNS24" s="84"/>
      <c r="MNT24" s="84"/>
      <c r="MNU24" s="84"/>
      <c r="MNV24" s="84"/>
      <c r="MNW24" s="84"/>
      <c r="MNX24" s="84"/>
      <c r="MNY24" s="84"/>
      <c r="MNZ24" s="84"/>
      <c r="MOA24" s="84"/>
      <c r="MOB24" s="84"/>
      <c r="MOC24" s="84"/>
      <c r="MOD24" s="84"/>
      <c r="MOE24" s="84"/>
      <c r="MOF24" s="84"/>
      <c r="MOG24" s="84"/>
      <c r="MOH24" s="84"/>
      <c r="MOI24" s="84"/>
      <c r="MOJ24" s="84"/>
      <c r="MOK24" s="84"/>
      <c r="MOL24" s="84"/>
      <c r="MOM24" s="84"/>
      <c r="MON24" s="84"/>
      <c r="MOO24" s="84"/>
      <c r="MOP24" s="84"/>
      <c r="MOQ24" s="84"/>
      <c r="MOR24" s="84"/>
      <c r="MOS24" s="84"/>
      <c r="MOT24" s="84"/>
      <c r="MOU24" s="84"/>
      <c r="MOV24" s="84"/>
      <c r="MOW24" s="84"/>
      <c r="MOX24" s="84"/>
      <c r="MOY24" s="84"/>
      <c r="MOZ24" s="84"/>
      <c r="MPA24" s="84"/>
      <c r="MPB24" s="84"/>
      <c r="MPC24" s="84"/>
      <c r="MPD24" s="84"/>
      <c r="MPE24" s="84"/>
      <c r="MPF24" s="84"/>
      <c r="MPG24" s="84"/>
      <c r="MPH24" s="84"/>
      <c r="MPI24" s="84"/>
      <c r="MPJ24" s="84"/>
      <c r="MPK24" s="84"/>
      <c r="MPL24" s="84"/>
      <c r="MPM24" s="84"/>
      <c r="MPN24" s="84"/>
      <c r="MPO24" s="84"/>
      <c r="MPP24" s="84"/>
      <c r="MPQ24" s="84"/>
      <c r="MPR24" s="84"/>
      <c r="MPS24" s="84"/>
      <c r="MPT24" s="84"/>
      <c r="MPU24" s="84"/>
      <c r="MPV24" s="84"/>
      <c r="MPW24" s="84"/>
      <c r="MPX24" s="84"/>
      <c r="MPY24" s="84"/>
      <c r="MPZ24" s="84"/>
      <c r="MQA24" s="84"/>
      <c r="MQB24" s="84"/>
      <c r="MQC24" s="84"/>
      <c r="MQD24" s="84"/>
      <c r="MQE24" s="84"/>
      <c r="MQF24" s="84"/>
      <c r="MQG24" s="84"/>
      <c r="MQH24" s="84"/>
      <c r="MQI24" s="84"/>
      <c r="MQJ24" s="84"/>
      <c r="MQK24" s="84"/>
      <c r="MQL24" s="84"/>
      <c r="MQM24" s="84"/>
      <c r="MQN24" s="84"/>
      <c r="MQO24" s="84"/>
      <c r="MQP24" s="84"/>
      <c r="MQQ24" s="84"/>
      <c r="MQR24" s="84"/>
      <c r="MQS24" s="84"/>
      <c r="MQT24" s="84"/>
      <c r="MQU24" s="84"/>
      <c r="MQV24" s="84"/>
      <c r="MQW24" s="84"/>
      <c r="MQX24" s="84"/>
      <c r="MQY24" s="84"/>
      <c r="MQZ24" s="84"/>
      <c r="MRA24" s="84"/>
      <c r="MRB24" s="84"/>
      <c r="MRC24" s="84"/>
      <c r="MRD24" s="84"/>
      <c r="MRE24" s="84"/>
      <c r="MRF24" s="84"/>
      <c r="MRG24" s="84"/>
      <c r="MRH24" s="84"/>
      <c r="MRI24" s="84"/>
      <c r="MRJ24" s="84"/>
      <c r="MRK24" s="84"/>
      <c r="MRL24" s="84"/>
      <c r="MRM24" s="84"/>
      <c r="MRN24" s="84"/>
      <c r="MRO24" s="84"/>
      <c r="MRP24" s="84"/>
      <c r="MRQ24" s="84"/>
      <c r="MRR24" s="84"/>
      <c r="MRS24" s="84"/>
      <c r="MRT24" s="84"/>
      <c r="MRU24" s="84"/>
      <c r="MRV24" s="84"/>
      <c r="MRW24" s="84"/>
      <c r="MRX24" s="84"/>
      <c r="MRY24" s="84"/>
      <c r="MRZ24" s="84"/>
      <c r="MSA24" s="84"/>
      <c r="MSB24" s="84"/>
      <c r="MSC24" s="84"/>
      <c r="MSD24" s="84"/>
      <c r="MSE24" s="84"/>
      <c r="MSF24" s="84"/>
      <c r="MSG24" s="84"/>
      <c r="MSH24" s="84"/>
      <c r="MSI24" s="84"/>
      <c r="MSJ24" s="84"/>
      <c r="MSK24" s="84"/>
      <c r="MSL24" s="84"/>
      <c r="MSM24" s="84"/>
      <c r="MSN24" s="84"/>
      <c r="MSO24" s="84"/>
      <c r="MSP24" s="84"/>
      <c r="MSQ24" s="84"/>
      <c r="MSR24" s="84"/>
      <c r="MSS24" s="84"/>
      <c r="MST24" s="84"/>
      <c r="MSU24" s="84"/>
      <c r="MSV24" s="84"/>
      <c r="MSW24" s="84"/>
      <c r="MSX24" s="84"/>
      <c r="MSY24" s="84"/>
      <c r="MSZ24" s="84"/>
      <c r="MTA24" s="84"/>
      <c r="MTB24" s="84"/>
      <c r="MTC24" s="84"/>
      <c r="MTD24" s="84"/>
      <c r="MTE24" s="84"/>
      <c r="MTF24" s="84"/>
      <c r="MTG24" s="84"/>
      <c r="MTH24" s="84"/>
      <c r="MTI24" s="84"/>
      <c r="MTJ24" s="84"/>
      <c r="MTK24" s="84"/>
      <c r="MTL24" s="84"/>
      <c r="MTM24" s="84"/>
      <c r="MTN24" s="84"/>
      <c r="MTO24" s="84"/>
      <c r="MTP24" s="84"/>
      <c r="MTQ24" s="84"/>
      <c r="MTR24" s="84"/>
      <c r="MTS24" s="84"/>
      <c r="MTT24" s="84"/>
      <c r="MTU24" s="84"/>
      <c r="MTV24" s="84"/>
      <c r="MTW24" s="84"/>
      <c r="MTX24" s="84"/>
      <c r="MTY24" s="84"/>
      <c r="MTZ24" s="84"/>
      <c r="MUA24" s="84"/>
      <c r="MUB24" s="84"/>
      <c r="MUC24" s="84"/>
      <c r="MUD24" s="84"/>
      <c r="MUE24" s="84"/>
      <c r="MUF24" s="84"/>
      <c r="MUG24" s="84"/>
      <c r="MUH24" s="84"/>
      <c r="MUI24" s="84"/>
      <c r="MUJ24" s="84"/>
      <c r="MUK24" s="84"/>
      <c r="MUL24" s="84"/>
      <c r="MUM24" s="84"/>
      <c r="MUN24" s="84"/>
      <c r="MUO24" s="84"/>
      <c r="MUP24" s="84"/>
      <c r="MUQ24" s="84"/>
      <c r="MUR24" s="84"/>
      <c r="MUS24" s="84"/>
      <c r="MUT24" s="84"/>
      <c r="MUU24" s="84"/>
      <c r="MUV24" s="84"/>
      <c r="MUW24" s="84"/>
      <c r="MUX24" s="84"/>
      <c r="MUY24" s="84"/>
      <c r="MUZ24" s="84"/>
      <c r="MVA24" s="84"/>
      <c r="MVB24" s="84"/>
      <c r="MVC24" s="84"/>
      <c r="MVD24" s="84"/>
      <c r="MVE24" s="84"/>
      <c r="MVF24" s="84"/>
      <c r="MVG24" s="84"/>
      <c r="MVH24" s="84"/>
      <c r="MVI24" s="84"/>
      <c r="MVJ24" s="84"/>
      <c r="MVK24" s="84"/>
      <c r="MVL24" s="84"/>
      <c r="MVM24" s="84"/>
      <c r="MVN24" s="84"/>
      <c r="MVO24" s="84"/>
      <c r="MVP24" s="84"/>
      <c r="MVQ24" s="84"/>
      <c r="MVR24" s="84"/>
      <c r="MVS24" s="84"/>
      <c r="MVT24" s="84"/>
      <c r="MVU24" s="84"/>
      <c r="MVV24" s="84"/>
      <c r="MVW24" s="84"/>
      <c r="MVX24" s="84"/>
      <c r="MVY24" s="84"/>
      <c r="MVZ24" s="84"/>
      <c r="MWA24" s="84"/>
      <c r="MWB24" s="84"/>
      <c r="MWC24" s="84"/>
      <c r="MWD24" s="84"/>
      <c r="MWE24" s="84"/>
      <c r="MWF24" s="84"/>
      <c r="MWG24" s="84"/>
      <c r="MWH24" s="84"/>
      <c r="MWI24" s="84"/>
      <c r="MWJ24" s="84"/>
      <c r="MWK24" s="84"/>
      <c r="MWL24" s="84"/>
      <c r="MWM24" s="84"/>
      <c r="MWN24" s="84"/>
      <c r="MWO24" s="84"/>
      <c r="MWP24" s="84"/>
      <c r="MWQ24" s="84"/>
      <c r="MWR24" s="84"/>
      <c r="MWS24" s="84"/>
      <c r="MWT24" s="84"/>
      <c r="MWU24" s="84"/>
      <c r="MWV24" s="84"/>
      <c r="MWW24" s="84"/>
      <c r="MWX24" s="84"/>
      <c r="MWY24" s="84"/>
      <c r="MWZ24" s="84"/>
      <c r="MXA24" s="84"/>
      <c r="MXB24" s="84"/>
      <c r="MXC24" s="84"/>
      <c r="MXD24" s="84"/>
      <c r="MXE24" s="84"/>
      <c r="MXF24" s="84"/>
      <c r="MXG24" s="84"/>
      <c r="MXH24" s="84"/>
      <c r="MXI24" s="84"/>
      <c r="MXJ24" s="84"/>
      <c r="MXK24" s="84"/>
      <c r="MXL24" s="84"/>
      <c r="MXM24" s="84"/>
      <c r="MXN24" s="84"/>
      <c r="MXO24" s="84"/>
      <c r="MXP24" s="84"/>
      <c r="MXQ24" s="84"/>
      <c r="MXR24" s="84"/>
      <c r="MXS24" s="84"/>
      <c r="MXT24" s="84"/>
      <c r="MXU24" s="84"/>
      <c r="MXV24" s="84"/>
      <c r="MXW24" s="84"/>
      <c r="MXX24" s="84"/>
      <c r="MXY24" s="84"/>
      <c r="MXZ24" s="84"/>
      <c r="MYA24" s="84"/>
      <c r="MYB24" s="84"/>
      <c r="MYC24" s="84"/>
      <c r="MYD24" s="84"/>
      <c r="MYE24" s="84"/>
      <c r="MYF24" s="84"/>
      <c r="MYG24" s="84"/>
      <c r="MYH24" s="84"/>
      <c r="MYI24" s="84"/>
      <c r="MYJ24" s="84"/>
      <c r="MYK24" s="84"/>
      <c r="MYL24" s="84"/>
      <c r="MYM24" s="84"/>
      <c r="MYN24" s="84"/>
      <c r="MYO24" s="84"/>
      <c r="MYP24" s="84"/>
      <c r="MYQ24" s="84"/>
      <c r="MYR24" s="84"/>
      <c r="MYS24" s="84"/>
      <c r="MYT24" s="84"/>
      <c r="MYU24" s="84"/>
      <c r="MYV24" s="84"/>
      <c r="MYW24" s="84"/>
      <c r="MYX24" s="84"/>
      <c r="MYY24" s="84"/>
      <c r="MYZ24" s="84"/>
      <c r="MZA24" s="84"/>
      <c r="MZB24" s="84"/>
      <c r="MZC24" s="84"/>
      <c r="MZD24" s="84"/>
      <c r="MZE24" s="84"/>
      <c r="MZF24" s="84"/>
      <c r="MZG24" s="84"/>
      <c r="MZH24" s="84"/>
      <c r="MZI24" s="84"/>
      <c r="MZJ24" s="84"/>
      <c r="MZK24" s="84"/>
      <c r="MZL24" s="84"/>
      <c r="MZM24" s="84"/>
      <c r="MZN24" s="84"/>
      <c r="MZO24" s="84"/>
      <c r="MZP24" s="84"/>
      <c r="MZQ24" s="84"/>
      <c r="MZR24" s="84"/>
      <c r="MZS24" s="84"/>
      <c r="MZT24" s="84"/>
      <c r="MZU24" s="84"/>
      <c r="MZV24" s="84"/>
      <c r="MZW24" s="84"/>
      <c r="MZX24" s="84"/>
      <c r="MZY24" s="84"/>
      <c r="MZZ24" s="84"/>
      <c r="NAA24" s="84"/>
      <c r="NAB24" s="84"/>
      <c r="NAC24" s="84"/>
      <c r="NAD24" s="84"/>
      <c r="NAE24" s="84"/>
      <c r="NAF24" s="84"/>
      <c r="NAG24" s="84"/>
      <c r="NAH24" s="84"/>
      <c r="NAI24" s="84"/>
      <c r="NAJ24" s="84"/>
      <c r="NAK24" s="84"/>
      <c r="NAL24" s="84"/>
      <c r="NAM24" s="84"/>
      <c r="NAN24" s="84"/>
      <c r="NAO24" s="84"/>
      <c r="NAP24" s="84"/>
      <c r="NAQ24" s="84"/>
      <c r="NAR24" s="84"/>
      <c r="NAS24" s="84"/>
      <c r="NAT24" s="84"/>
      <c r="NAU24" s="84"/>
      <c r="NAV24" s="84"/>
      <c r="NAW24" s="84"/>
      <c r="NAX24" s="84"/>
      <c r="NAY24" s="84"/>
      <c r="NAZ24" s="84"/>
      <c r="NBA24" s="84"/>
      <c r="NBB24" s="84"/>
      <c r="NBC24" s="84"/>
      <c r="NBD24" s="84"/>
      <c r="NBE24" s="84"/>
      <c r="NBF24" s="84"/>
      <c r="NBG24" s="84"/>
      <c r="NBH24" s="84"/>
      <c r="NBI24" s="84"/>
      <c r="NBJ24" s="84"/>
      <c r="NBK24" s="84"/>
      <c r="NBL24" s="84"/>
      <c r="NBM24" s="84"/>
      <c r="NBN24" s="84"/>
      <c r="NBO24" s="84"/>
      <c r="NBP24" s="84"/>
      <c r="NBQ24" s="84"/>
      <c r="NBR24" s="84"/>
      <c r="NBS24" s="84"/>
      <c r="NBT24" s="84"/>
      <c r="NBU24" s="84"/>
      <c r="NBV24" s="84"/>
      <c r="NBW24" s="84"/>
      <c r="NBX24" s="84"/>
      <c r="NBY24" s="84"/>
      <c r="NBZ24" s="84"/>
      <c r="NCA24" s="84"/>
      <c r="NCB24" s="84"/>
      <c r="NCC24" s="84"/>
      <c r="NCD24" s="84"/>
      <c r="NCE24" s="84"/>
      <c r="NCF24" s="84"/>
      <c r="NCG24" s="84"/>
      <c r="NCH24" s="84"/>
      <c r="NCI24" s="84"/>
      <c r="NCJ24" s="84"/>
      <c r="NCK24" s="84"/>
      <c r="NCL24" s="84"/>
      <c r="NCM24" s="84"/>
      <c r="NCN24" s="84"/>
      <c r="NCO24" s="84"/>
      <c r="NCP24" s="84"/>
      <c r="NCQ24" s="84"/>
      <c r="NCR24" s="84"/>
      <c r="NCS24" s="84"/>
      <c r="NCT24" s="84"/>
      <c r="NCU24" s="84"/>
      <c r="NCV24" s="84"/>
      <c r="NCW24" s="84"/>
      <c r="NCX24" s="84"/>
      <c r="NCY24" s="84"/>
      <c r="NCZ24" s="84"/>
      <c r="NDA24" s="84"/>
      <c r="NDB24" s="84"/>
      <c r="NDC24" s="84"/>
      <c r="NDD24" s="84"/>
      <c r="NDE24" s="84"/>
      <c r="NDF24" s="84"/>
      <c r="NDG24" s="84"/>
      <c r="NDH24" s="84"/>
      <c r="NDI24" s="84"/>
      <c r="NDJ24" s="84"/>
      <c r="NDK24" s="84"/>
      <c r="NDL24" s="84"/>
      <c r="NDM24" s="84"/>
      <c r="NDN24" s="84"/>
      <c r="NDO24" s="84"/>
      <c r="NDP24" s="84"/>
      <c r="NDQ24" s="84"/>
      <c r="NDR24" s="84"/>
      <c r="NDS24" s="84"/>
      <c r="NDT24" s="84"/>
      <c r="NDU24" s="84"/>
      <c r="NDV24" s="84"/>
      <c r="NDW24" s="84"/>
      <c r="NDX24" s="84"/>
      <c r="NDY24" s="84"/>
      <c r="NDZ24" s="84"/>
      <c r="NEA24" s="84"/>
      <c r="NEB24" s="84"/>
      <c r="NEC24" s="84"/>
      <c r="NED24" s="84"/>
      <c r="NEE24" s="84"/>
      <c r="NEF24" s="84"/>
      <c r="NEG24" s="84"/>
      <c r="NEH24" s="84"/>
      <c r="NEI24" s="84"/>
      <c r="NEJ24" s="84"/>
      <c r="NEK24" s="84"/>
      <c r="NEL24" s="84"/>
      <c r="NEM24" s="84"/>
      <c r="NEN24" s="84"/>
      <c r="NEO24" s="84"/>
      <c r="NEP24" s="84"/>
      <c r="NEQ24" s="84"/>
      <c r="NER24" s="84"/>
      <c r="NES24" s="84"/>
      <c r="NET24" s="84"/>
      <c r="NEU24" s="84"/>
      <c r="NEV24" s="84"/>
      <c r="NEW24" s="84"/>
      <c r="NEX24" s="84"/>
      <c r="NEY24" s="84"/>
      <c r="NEZ24" s="84"/>
      <c r="NFA24" s="84"/>
      <c r="NFB24" s="84"/>
      <c r="NFC24" s="84"/>
      <c r="NFD24" s="84"/>
      <c r="NFE24" s="84"/>
      <c r="NFF24" s="84"/>
      <c r="NFG24" s="84"/>
      <c r="NFH24" s="84"/>
      <c r="NFI24" s="84"/>
      <c r="NFJ24" s="84"/>
      <c r="NFK24" s="84"/>
      <c r="NFL24" s="84"/>
      <c r="NFM24" s="84"/>
      <c r="NFN24" s="84"/>
      <c r="NFO24" s="84"/>
      <c r="NFP24" s="84"/>
      <c r="NFQ24" s="84"/>
      <c r="NFR24" s="84"/>
      <c r="NFS24" s="84"/>
      <c r="NFT24" s="84"/>
      <c r="NFU24" s="84"/>
      <c r="NFV24" s="84"/>
      <c r="NFW24" s="84"/>
      <c r="NFX24" s="84"/>
      <c r="NFY24" s="84"/>
      <c r="NFZ24" s="84"/>
      <c r="NGA24" s="84"/>
      <c r="NGB24" s="84"/>
      <c r="NGC24" s="84"/>
      <c r="NGD24" s="84"/>
      <c r="NGE24" s="84"/>
      <c r="NGF24" s="84"/>
      <c r="NGG24" s="84"/>
      <c r="NGH24" s="84"/>
      <c r="NGI24" s="84"/>
      <c r="NGJ24" s="84"/>
      <c r="NGK24" s="84"/>
      <c r="NGL24" s="84"/>
      <c r="NGM24" s="84"/>
      <c r="NGN24" s="84"/>
      <c r="NGO24" s="84"/>
      <c r="NGP24" s="84"/>
      <c r="NGQ24" s="84"/>
      <c r="NGR24" s="84"/>
      <c r="NGS24" s="84"/>
      <c r="NGT24" s="84"/>
      <c r="NGU24" s="84"/>
      <c r="NGV24" s="84"/>
      <c r="NGW24" s="84"/>
      <c r="NGX24" s="84"/>
      <c r="NGY24" s="84"/>
      <c r="NGZ24" s="84"/>
      <c r="NHA24" s="84"/>
      <c r="NHB24" s="84"/>
      <c r="NHC24" s="84"/>
      <c r="NHD24" s="84"/>
      <c r="NHE24" s="84"/>
      <c r="NHF24" s="84"/>
      <c r="NHG24" s="84"/>
      <c r="NHH24" s="84"/>
      <c r="NHI24" s="84"/>
      <c r="NHJ24" s="84"/>
      <c r="NHK24" s="84"/>
      <c r="NHL24" s="84"/>
      <c r="NHM24" s="84"/>
      <c r="NHN24" s="84"/>
      <c r="NHO24" s="84"/>
      <c r="NHP24" s="84"/>
      <c r="NHQ24" s="84"/>
      <c r="NHR24" s="84"/>
      <c r="NHS24" s="84"/>
      <c r="NHT24" s="84"/>
      <c r="NHU24" s="84"/>
      <c r="NHV24" s="84"/>
      <c r="NHW24" s="84"/>
      <c r="NHX24" s="84"/>
      <c r="NHY24" s="84"/>
      <c r="NHZ24" s="84"/>
      <c r="NIA24" s="84"/>
      <c r="NIB24" s="84"/>
      <c r="NIC24" s="84"/>
      <c r="NID24" s="84"/>
      <c r="NIE24" s="84"/>
      <c r="NIF24" s="84"/>
      <c r="NIG24" s="84"/>
      <c r="NIH24" s="84"/>
      <c r="NII24" s="84"/>
      <c r="NIJ24" s="84"/>
      <c r="NIK24" s="84"/>
      <c r="NIL24" s="84"/>
      <c r="NIM24" s="84"/>
      <c r="NIN24" s="84"/>
      <c r="NIO24" s="84"/>
      <c r="NIP24" s="84"/>
      <c r="NIQ24" s="84"/>
      <c r="NIR24" s="84"/>
      <c r="NIS24" s="84"/>
      <c r="NIT24" s="84"/>
      <c r="NIU24" s="84"/>
      <c r="NIV24" s="84"/>
      <c r="NIW24" s="84"/>
      <c r="NIX24" s="84"/>
      <c r="NIY24" s="84"/>
      <c r="NIZ24" s="84"/>
      <c r="NJA24" s="84"/>
      <c r="NJB24" s="84"/>
      <c r="NJC24" s="84"/>
      <c r="NJD24" s="84"/>
      <c r="NJE24" s="84"/>
      <c r="NJF24" s="84"/>
      <c r="NJG24" s="84"/>
      <c r="NJH24" s="84"/>
      <c r="NJI24" s="84"/>
      <c r="NJJ24" s="84"/>
      <c r="NJK24" s="84"/>
      <c r="NJL24" s="84"/>
      <c r="NJM24" s="84"/>
      <c r="NJN24" s="84"/>
      <c r="NJO24" s="84"/>
      <c r="NJP24" s="84"/>
      <c r="NJQ24" s="84"/>
      <c r="NJR24" s="84"/>
      <c r="NJS24" s="84"/>
      <c r="NJT24" s="84"/>
      <c r="NJU24" s="84"/>
      <c r="NJV24" s="84"/>
      <c r="NJW24" s="84"/>
      <c r="NJX24" s="84"/>
      <c r="NJY24" s="84"/>
      <c r="NJZ24" s="84"/>
      <c r="NKA24" s="84"/>
      <c r="NKB24" s="84"/>
      <c r="NKC24" s="84"/>
      <c r="NKD24" s="84"/>
      <c r="NKE24" s="84"/>
      <c r="NKF24" s="84"/>
      <c r="NKG24" s="84"/>
      <c r="NKH24" s="84"/>
      <c r="NKI24" s="84"/>
      <c r="NKJ24" s="84"/>
      <c r="NKK24" s="84"/>
      <c r="NKL24" s="84"/>
      <c r="NKM24" s="84"/>
      <c r="NKN24" s="84"/>
      <c r="NKO24" s="84"/>
      <c r="NKP24" s="84"/>
      <c r="NKQ24" s="84"/>
      <c r="NKR24" s="84"/>
      <c r="NKS24" s="84"/>
      <c r="NKT24" s="84"/>
      <c r="NKU24" s="84"/>
      <c r="NKV24" s="84"/>
      <c r="NKW24" s="84"/>
      <c r="NKX24" s="84"/>
      <c r="NKY24" s="84"/>
      <c r="NKZ24" s="84"/>
      <c r="NLA24" s="84"/>
      <c r="NLB24" s="84"/>
      <c r="NLC24" s="84"/>
      <c r="NLD24" s="84"/>
      <c r="NLE24" s="84"/>
      <c r="NLF24" s="84"/>
      <c r="NLG24" s="84"/>
      <c r="NLH24" s="84"/>
      <c r="NLI24" s="84"/>
      <c r="NLJ24" s="84"/>
      <c r="NLK24" s="84"/>
      <c r="NLL24" s="84"/>
      <c r="NLM24" s="84"/>
      <c r="NLN24" s="84"/>
      <c r="NLO24" s="84"/>
      <c r="NLP24" s="84"/>
      <c r="NLQ24" s="84"/>
      <c r="NLR24" s="84"/>
      <c r="NLS24" s="84"/>
      <c r="NLT24" s="84"/>
      <c r="NLU24" s="84"/>
      <c r="NLV24" s="84"/>
      <c r="NLW24" s="84"/>
      <c r="NLX24" s="84"/>
      <c r="NLY24" s="84"/>
      <c r="NLZ24" s="84"/>
      <c r="NMA24" s="84"/>
      <c r="NMB24" s="84"/>
      <c r="NMC24" s="84"/>
      <c r="NMD24" s="84"/>
      <c r="NME24" s="84"/>
      <c r="NMF24" s="84"/>
      <c r="NMG24" s="84"/>
      <c r="NMH24" s="84"/>
      <c r="NMI24" s="84"/>
      <c r="NMJ24" s="84"/>
      <c r="NMK24" s="84"/>
      <c r="NML24" s="84"/>
      <c r="NMM24" s="84"/>
      <c r="NMN24" s="84"/>
      <c r="NMO24" s="84"/>
      <c r="NMP24" s="84"/>
      <c r="NMQ24" s="84"/>
      <c r="NMR24" s="84"/>
      <c r="NMS24" s="84"/>
      <c r="NMT24" s="84"/>
      <c r="NMU24" s="84"/>
      <c r="NMV24" s="84"/>
      <c r="NMW24" s="84"/>
      <c r="NMX24" s="84"/>
      <c r="NMY24" s="84"/>
      <c r="NMZ24" s="84"/>
      <c r="NNA24" s="84"/>
      <c r="NNB24" s="84"/>
      <c r="NNC24" s="84"/>
      <c r="NND24" s="84"/>
      <c r="NNE24" s="84"/>
      <c r="NNF24" s="84"/>
      <c r="NNG24" s="84"/>
      <c r="NNH24" s="84"/>
      <c r="NNI24" s="84"/>
      <c r="NNJ24" s="84"/>
      <c r="NNK24" s="84"/>
      <c r="NNL24" s="84"/>
      <c r="NNM24" s="84"/>
      <c r="NNN24" s="84"/>
      <c r="NNO24" s="84"/>
      <c r="NNP24" s="84"/>
      <c r="NNQ24" s="84"/>
      <c r="NNR24" s="84"/>
      <c r="NNS24" s="84"/>
      <c r="NNT24" s="84"/>
      <c r="NNU24" s="84"/>
      <c r="NNV24" s="84"/>
      <c r="NNW24" s="84"/>
      <c r="NNX24" s="84"/>
      <c r="NNY24" s="84"/>
      <c r="NNZ24" s="84"/>
      <c r="NOA24" s="84"/>
      <c r="NOB24" s="84"/>
      <c r="NOC24" s="84"/>
      <c r="NOD24" s="84"/>
      <c r="NOE24" s="84"/>
      <c r="NOF24" s="84"/>
      <c r="NOG24" s="84"/>
      <c r="NOH24" s="84"/>
      <c r="NOI24" s="84"/>
      <c r="NOJ24" s="84"/>
      <c r="NOK24" s="84"/>
      <c r="NOL24" s="84"/>
      <c r="NOM24" s="84"/>
      <c r="NON24" s="84"/>
      <c r="NOO24" s="84"/>
      <c r="NOP24" s="84"/>
      <c r="NOQ24" s="84"/>
      <c r="NOR24" s="84"/>
      <c r="NOS24" s="84"/>
      <c r="NOT24" s="84"/>
      <c r="NOU24" s="84"/>
      <c r="NOV24" s="84"/>
      <c r="NOW24" s="84"/>
      <c r="NOX24" s="84"/>
      <c r="NOY24" s="84"/>
      <c r="NOZ24" s="84"/>
      <c r="NPA24" s="84"/>
      <c r="NPB24" s="84"/>
      <c r="NPC24" s="84"/>
      <c r="NPD24" s="84"/>
      <c r="NPE24" s="84"/>
      <c r="NPF24" s="84"/>
      <c r="NPG24" s="84"/>
      <c r="NPH24" s="84"/>
      <c r="NPI24" s="84"/>
      <c r="NPJ24" s="84"/>
      <c r="NPK24" s="84"/>
      <c r="NPL24" s="84"/>
      <c r="NPM24" s="84"/>
      <c r="NPN24" s="84"/>
      <c r="NPO24" s="84"/>
      <c r="NPP24" s="84"/>
      <c r="NPQ24" s="84"/>
      <c r="NPR24" s="84"/>
      <c r="NPS24" s="84"/>
      <c r="NPT24" s="84"/>
      <c r="NPU24" s="84"/>
      <c r="NPV24" s="84"/>
      <c r="NPW24" s="84"/>
      <c r="NPX24" s="84"/>
      <c r="NPY24" s="84"/>
      <c r="NPZ24" s="84"/>
      <c r="NQA24" s="84"/>
      <c r="NQB24" s="84"/>
      <c r="NQC24" s="84"/>
      <c r="NQD24" s="84"/>
      <c r="NQE24" s="84"/>
      <c r="NQF24" s="84"/>
      <c r="NQG24" s="84"/>
      <c r="NQH24" s="84"/>
      <c r="NQI24" s="84"/>
      <c r="NQJ24" s="84"/>
      <c r="NQK24" s="84"/>
      <c r="NQL24" s="84"/>
      <c r="NQM24" s="84"/>
      <c r="NQN24" s="84"/>
      <c r="NQO24" s="84"/>
      <c r="NQP24" s="84"/>
      <c r="NQQ24" s="84"/>
      <c r="NQR24" s="84"/>
      <c r="NQS24" s="84"/>
      <c r="NQT24" s="84"/>
      <c r="NQU24" s="84"/>
      <c r="NQV24" s="84"/>
      <c r="NQW24" s="84"/>
      <c r="NQX24" s="84"/>
      <c r="NQY24" s="84"/>
      <c r="NQZ24" s="84"/>
      <c r="NRA24" s="84"/>
      <c r="NRB24" s="84"/>
      <c r="NRC24" s="84"/>
      <c r="NRD24" s="84"/>
      <c r="NRE24" s="84"/>
      <c r="NRF24" s="84"/>
      <c r="NRG24" s="84"/>
      <c r="NRH24" s="84"/>
      <c r="NRI24" s="84"/>
      <c r="NRJ24" s="84"/>
      <c r="NRK24" s="84"/>
      <c r="NRL24" s="84"/>
      <c r="NRM24" s="84"/>
      <c r="NRN24" s="84"/>
      <c r="NRO24" s="84"/>
      <c r="NRP24" s="84"/>
      <c r="NRQ24" s="84"/>
      <c r="NRR24" s="84"/>
      <c r="NRS24" s="84"/>
      <c r="NRT24" s="84"/>
      <c r="NRU24" s="84"/>
      <c r="NRV24" s="84"/>
      <c r="NRW24" s="84"/>
      <c r="NRX24" s="84"/>
      <c r="NRY24" s="84"/>
      <c r="NRZ24" s="84"/>
      <c r="NSA24" s="84"/>
      <c r="NSB24" s="84"/>
      <c r="NSC24" s="84"/>
      <c r="NSD24" s="84"/>
      <c r="NSE24" s="84"/>
      <c r="NSF24" s="84"/>
      <c r="NSG24" s="84"/>
      <c r="NSH24" s="84"/>
      <c r="NSI24" s="84"/>
      <c r="NSJ24" s="84"/>
      <c r="NSK24" s="84"/>
      <c r="NSL24" s="84"/>
      <c r="NSM24" s="84"/>
      <c r="NSN24" s="84"/>
      <c r="NSO24" s="84"/>
      <c r="NSP24" s="84"/>
      <c r="NSQ24" s="84"/>
      <c r="NSR24" s="84"/>
      <c r="NSS24" s="84"/>
      <c r="NST24" s="84"/>
      <c r="NSU24" s="84"/>
      <c r="NSV24" s="84"/>
      <c r="NSW24" s="84"/>
      <c r="NSX24" s="84"/>
      <c r="NSY24" s="84"/>
      <c r="NSZ24" s="84"/>
      <c r="NTA24" s="84"/>
      <c r="NTB24" s="84"/>
      <c r="NTC24" s="84"/>
      <c r="NTD24" s="84"/>
      <c r="NTE24" s="84"/>
      <c r="NTF24" s="84"/>
      <c r="NTG24" s="84"/>
      <c r="NTH24" s="84"/>
      <c r="NTI24" s="84"/>
      <c r="NTJ24" s="84"/>
      <c r="NTK24" s="84"/>
      <c r="NTL24" s="84"/>
      <c r="NTM24" s="84"/>
      <c r="NTN24" s="84"/>
      <c r="NTO24" s="84"/>
      <c r="NTP24" s="84"/>
      <c r="NTQ24" s="84"/>
      <c r="NTR24" s="84"/>
      <c r="NTS24" s="84"/>
      <c r="NTT24" s="84"/>
      <c r="NTU24" s="84"/>
      <c r="NTV24" s="84"/>
      <c r="NTW24" s="84"/>
      <c r="NTX24" s="84"/>
      <c r="NTY24" s="84"/>
      <c r="NTZ24" s="84"/>
      <c r="NUA24" s="84"/>
      <c r="NUB24" s="84"/>
      <c r="NUC24" s="84"/>
      <c r="NUD24" s="84"/>
      <c r="NUE24" s="84"/>
      <c r="NUF24" s="84"/>
      <c r="NUG24" s="84"/>
      <c r="NUH24" s="84"/>
      <c r="NUI24" s="84"/>
      <c r="NUJ24" s="84"/>
      <c r="NUK24" s="84"/>
      <c r="NUL24" s="84"/>
      <c r="NUM24" s="84"/>
      <c r="NUN24" s="84"/>
      <c r="NUO24" s="84"/>
      <c r="NUP24" s="84"/>
      <c r="NUQ24" s="84"/>
      <c r="NUR24" s="84"/>
      <c r="NUS24" s="84"/>
      <c r="NUT24" s="84"/>
      <c r="NUU24" s="84"/>
      <c r="NUV24" s="84"/>
      <c r="NUW24" s="84"/>
      <c r="NUX24" s="84"/>
      <c r="NUY24" s="84"/>
      <c r="NUZ24" s="84"/>
      <c r="NVA24" s="84"/>
      <c r="NVB24" s="84"/>
      <c r="NVC24" s="84"/>
      <c r="NVD24" s="84"/>
      <c r="NVE24" s="84"/>
      <c r="NVF24" s="84"/>
      <c r="NVG24" s="84"/>
      <c r="NVH24" s="84"/>
      <c r="NVI24" s="84"/>
      <c r="NVJ24" s="84"/>
      <c r="NVK24" s="84"/>
      <c r="NVL24" s="84"/>
      <c r="NVM24" s="84"/>
      <c r="NVN24" s="84"/>
      <c r="NVO24" s="84"/>
      <c r="NVP24" s="84"/>
      <c r="NVQ24" s="84"/>
      <c r="NVR24" s="84"/>
      <c r="NVS24" s="84"/>
      <c r="NVT24" s="84"/>
      <c r="NVU24" s="84"/>
      <c r="NVV24" s="84"/>
      <c r="NVW24" s="84"/>
      <c r="NVX24" s="84"/>
      <c r="NVY24" s="84"/>
      <c r="NVZ24" s="84"/>
      <c r="NWA24" s="84"/>
      <c r="NWB24" s="84"/>
      <c r="NWC24" s="84"/>
      <c r="NWD24" s="84"/>
      <c r="NWE24" s="84"/>
      <c r="NWF24" s="84"/>
      <c r="NWG24" s="84"/>
      <c r="NWH24" s="84"/>
      <c r="NWI24" s="84"/>
      <c r="NWJ24" s="84"/>
      <c r="NWK24" s="84"/>
      <c r="NWL24" s="84"/>
      <c r="NWM24" s="84"/>
      <c r="NWN24" s="84"/>
      <c r="NWO24" s="84"/>
      <c r="NWP24" s="84"/>
      <c r="NWQ24" s="84"/>
      <c r="NWR24" s="84"/>
      <c r="NWS24" s="84"/>
      <c r="NWT24" s="84"/>
      <c r="NWU24" s="84"/>
      <c r="NWV24" s="84"/>
      <c r="NWW24" s="84"/>
      <c r="NWX24" s="84"/>
      <c r="NWY24" s="84"/>
      <c r="NWZ24" s="84"/>
      <c r="NXA24" s="84"/>
      <c r="NXB24" s="84"/>
      <c r="NXC24" s="84"/>
      <c r="NXD24" s="84"/>
      <c r="NXE24" s="84"/>
      <c r="NXF24" s="84"/>
      <c r="NXG24" s="84"/>
      <c r="NXH24" s="84"/>
      <c r="NXI24" s="84"/>
      <c r="NXJ24" s="84"/>
      <c r="NXK24" s="84"/>
      <c r="NXL24" s="84"/>
      <c r="NXM24" s="84"/>
      <c r="NXN24" s="84"/>
      <c r="NXO24" s="84"/>
      <c r="NXP24" s="84"/>
      <c r="NXQ24" s="84"/>
      <c r="NXR24" s="84"/>
      <c r="NXS24" s="84"/>
      <c r="NXT24" s="84"/>
      <c r="NXU24" s="84"/>
      <c r="NXV24" s="84"/>
      <c r="NXW24" s="84"/>
      <c r="NXX24" s="84"/>
      <c r="NXY24" s="84"/>
      <c r="NXZ24" s="84"/>
      <c r="NYA24" s="84"/>
      <c r="NYB24" s="84"/>
      <c r="NYC24" s="84"/>
      <c r="NYD24" s="84"/>
      <c r="NYE24" s="84"/>
      <c r="NYF24" s="84"/>
      <c r="NYG24" s="84"/>
      <c r="NYH24" s="84"/>
      <c r="NYI24" s="84"/>
      <c r="NYJ24" s="84"/>
      <c r="NYK24" s="84"/>
      <c r="NYL24" s="84"/>
      <c r="NYM24" s="84"/>
      <c r="NYN24" s="84"/>
      <c r="NYO24" s="84"/>
      <c r="NYP24" s="84"/>
      <c r="NYQ24" s="84"/>
      <c r="NYR24" s="84"/>
      <c r="NYS24" s="84"/>
      <c r="NYT24" s="84"/>
      <c r="NYU24" s="84"/>
      <c r="NYV24" s="84"/>
      <c r="NYW24" s="84"/>
      <c r="NYX24" s="84"/>
      <c r="NYY24" s="84"/>
      <c r="NYZ24" s="84"/>
      <c r="NZA24" s="84"/>
      <c r="NZB24" s="84"/>
      <c r="NZC24" s="84"/>
      <c r="NZD24" s="84"/>
      <c r="NZE24" s="84"/>
      <c r="NZF24" s="84"/>
      <c r="NZG24" s="84"/>
      <c r="NZH24" s="84"/>
      <c r="NZI24" s="84"/>
      <c r="NZJ24" s="84"/>
      <c r="NZK24" s="84"/>
      <c r="NZL24" s="84"/>
      <c r="NZM24" s="84"/>
      <c r="NZN24" s="84"/>
      <c r="NZO24" s="84"/>
      <c r="NZP24" s="84"/>
      <c r="NZQ24" s="84"/>
      <c r="NZR24" s="84"/>
      <c r="NZS24" s="84"/>
      <c r="NZT24" s="84"/>
      <c r="NZU24" s="84"/>
      <c r="NZV24" s="84"/>
      <c r="NZW24" s="84"/>
      <c r="NZX24" s="84"/>
      <c r="NZY24" s="84"/>
      <c r="NZZ24" s="84"/>
      <c r="OAA24" s="84"/>
      <c r="OAB24" s="84"/>
      <c r="OAC24" s="84"/>
      <c r="OAD24" s="84"/>
      <c r="OAE24" s="84"/>
      <c r="OAF24" s="84"/>
      <c r="OAG24" s="84"/>
      <c r="OAH24" s="84"/>
      <c r="OAI24" s="84"/>
      <c r="OAJ24" s="84"/>
      <c r="OAK24" s="84"/>
      <c r="OAL24" s="84"/>
      <c r="OAM24" s="84"/>
      <c r="OAN24" s="84"/>
      <c r="OAO24" s="84"/>
      <c r="OAP24" s="84"/>
      <c r="OAQ24" s="84"/>
      <c r="OAR24" s="84"/>
      <c r="OAS24" s="84"/>
      <c r="OAT24" s="84"/>
      <c r="OAU24" s="84"/>
      <c r="OAV24" s="84"/>
      <c r="OAW24" s="84"/>
      <c r="OAX24" s="84"/>
      <c r="OAY24" s="84"/>
      <c r="OAZ24" s="84"/>
      <c r="OBA24" s="84"/>
      <c r="OBB24" s="84"/>
      <c r="OBC24" s="84"/>
      <c r="OBD24" s="84"/>
      <c r="OBE24" s="84"/>
      <c r="OBF24" s="84"/>
      <c r="OBG24" s="84"/>
      <c r="OBH24" s="84"/>
      <c r="OBI24" s="84"/>
      <c r="OBJ24" s="84"/>
      <c r="OBK24" s="84"/>
      <c r="OBL24" s="84"/>
      <c r="OBM24" s="84"/>
      <c r="OBN24" s="84"/>
      <c r="OBO24" s="84"/>
      <c r="OBP24" s="84"/>
      <c r="OBQ24" s="84"/>
      <c r="OBR24" s="84"/>
      <c r="OBS24" s="84"/>
      <c r="OBT24" s="84"/>
      <c r="OBU24" s="84"/>
      <c r="OBV24" s="84"/>
      <c r="OBW24" s="84"/>
      <c r="OBX24" s="84"/>
      <c r="OBY24" s="84"/>
      <c r="OBZ24" s="84"/>
      <c r="OCA24" s="84"/>
      <c r="OCB24" s="84"/>
      <c r="OCC24" s="84"/>
      <c r="OCD24" s="84"/>
      <c r="OCE24" s="84"/>
      <c r="OCF24" s="84"/>
      <c r="OCG24" s="84"/>
      <c r="OCH24" s="84"/>
      <c r="OCI24" s="84"/>
      <c r="OCJ24" s="84"/>
      <c r="OCK24" s="84"/>
      <c r="OCL24" s="84"/>
      <c r="OCM24" s="84"/>
      <c r="OCN24" s="84"/>
      <c r="OCO24" s="84"/>
      <c r="OCP24" s="84"/>
      <c r="OCQ24" s="84"/>
      <c r="OCR24" s="84"/>
      <c r="OCS24" s="84"/>
      <c r="OCT24" s="84"/>
      <c r="OCU24" s="84"/>
      <c r="OCV24" s="84"/>
      <c r="OCW24" s="84"/>
      <c r="OCX24" s="84"/>
      <c r="OCY24" s="84"/>
      <c r="OCZ24" s="84"/>
      <c r="ODA24" s="84"/>
      <c r="ODB24" s="84"/>
      <c r="ODC24" s="84"/>
      <c r="ODD24" s="84"/>
      <c r="ODE24" s="84"/>
      <c r="ODF24" s="84"/>
      <c r="ODG24" s="84"/>
      <c r="ODH24" s="84"/>
      <c r="ODI24" s="84"/>
      <c r="ODJ24" s="84"/>
      <c r="ODK24" s="84"/>
      <c r="ODL24" s="84"/>
      <c r="ODM24" s="84"/>
      <c r="ODN24" s="84"/>
      <c r="ODO24" s="84"/>
      <c r="ODP24" s="84"/>
      <c r="ODQ24" s="84"/>
      <c r="ODR24" s="84"/>
      <c r="ODS24" s="84"/>
      <c r="ODT24" s="84"/>
      <c r="ODU24" s="84"/>
      <c r="ODV24" s="84"/>
      <c r="ODW24" s="84"/>
      <c r="ODX24" s="84"/>
      <c r="ODY24" s="84"/>
      <c r="ODZ24" s="84"/>
      <c r="OEA24" s="84"/>
      <c r="OEB24" s="84"/>
      <c r="OEC24" s="84"/>
      <c r="OED24" s="84"/>
      <c r="OEE24" s="84"/>
      <c r="OEF24" s="84"/>
      <c r="OEG24" s="84"/>
      <c r="OEH24" s="84"/>
      <c r="OEI24" s="84"/>
      <c r="OEJ24" s="84"/>
      <c r="OEK24" s="84"/>
      <c r="OEL24" s="84"/>
      <c r="OEM24" s="84"/>
      <c r="OEN24" s="84"/>
      <c r="OEO24" s="84"/>
      <c r="OEP24" s="84"/>
      <c r="OEQ24" s="84"/>
      <c r="OER24" s="84"/>
      <c r="OES24" s="84"/>
      <c r="OET24" s="84"/>
      <c r="OEU24" s="84"/>
      <c r="OEV24" s="84"/>
      <c r="OEW24" s="84"/>
      <c r="OEX24" s="84"/>
      <c r="OEY24" s="84"/>
      <c r="OEZ24" s="84"/>
      <c r="OFA24" s="84"/>
      <c r="OFB24" s="84"/>
      <c r="OFC24" s="84"/>
      <c r="OFD24" s="84"/>
      <c r="OFE24" s="84"/>
      <c r="OFF24" s="84"/>
      <c r="OFG24" s="84"/>
      <c r="OFH24" s="84"/>
      <c r="OFI24" s="84"/>
      <c r="OFJ24" s="84"/>
      <c r="OFK24" s="84"/>
      <c r="OFL24" s="84"/>
      <c r="OFM24" s="84"/>
      <c r="OFN24" s="84"/>
      <c r="OFO24" s="84"/>
      <c r="OFP24" s="84"/>
      <c r="OFQ24" s="84"/>
      <c r="OFR24" s="84"/>
      <c r="OFS24" s="84"/>
      <c r="OFT24" s="84"/>
      <c r="OFU24" s="84"/>
      <c r="OFV24" s="84"/>
      <c r="OFW24" s="84"/>
      <c r="OFX24" s="84"/>
      <c r="OFY24" s="84"/>
      <c r="OFZ24" s="84"/>
      <c r="OGA24" s="84"/>
      <c r="OGB24" s="84"/>
      <c r="OGC24" s="84"/>
      <c r="OGD24" s="84"/>
      <c r="OGE24" s="84"/>
      <c r="OGF24" s="84"/>
      <c r="OGG24" s="84"/>
      <c r="OGH24" s="84"/>
      <c r="OGI24" s="84"/>
      <c r="OGJ24" s="84"/>
      <c r="OGK24" s="84"/>
      <c r="OGL24" s="84"/>
      <c r="OGM24" s="84"/>
      <c r="OGN24" s="84"/>
      <c r="OGO24" s="84"/>
      <c r="OGP24" s="84"/>
      <c r="OGQ24" s="84"/>
      <c r="OGR24" s="84"/>
      <c r="OGS24" s="84"/>
      <c r="OGT24" s="84"/>
      <c r="OGU24" s="84"/>
      <c r="OGV24" s="84"/>
      <c r="OGW24" s="84"/>
      <c r="OGX24" s="84"/>
      <c r="OGY24" s="84"/>
      <c r="OGZ24" s="84"/>
      <c r="OHA24" s="84"/>
      <c r="OHB24" s="84"/>
      <c r="OHC24" s="84"/>
      <c r="OHD24" s="84"/>
      <c r="OHE24" s="84"/>
      <c r="OHF24" s="84"/>
      <c r="OHG24" s="84"/>
      <c r="OHH24" s="84"/>
      <c r="OHI24" s="84"/>
      <c r="OHJ24" s="84"/>
      <c r="OHK24" s="84"/>
      <c r="OHL24" s="84"/>
      <c r="OHM24" s="84"/>
      <c r="OHN24" s="84"/>
      <c r="OHO24" s="84"/>
      <c r="OHP24" s="84"/>
      <c r="OHQ24" s="84"/>
      <c r="OHR24" s="84"/>
      <c r="OHS24" s="84"/>
      <c r="OHT24" s="84"/>
      <c r="OHU24" s="84"/>
      <c r="OHV24" s="84"/>
      <c r="OHW24" s="84"/>
      <c r="OHX24" s="84"/>
      <c r="OHY24" s="84"/>
      <c r="OHZ24" s="84"/>
      <c r="OIA24" s="84"/>
      <c r="OIB24" s="84"/>
      <c r="OIC24" s="84"/>
      <c r="OID24" s="84"/>
      <c r="OIE24" s="84"/>
      <c r="OIF24" s="84"/>
      <c r="OIG24" s="84"/>
      <c r="OIH24" s="84"/>
      <c r="OII24" s="84"/>
      <c r="OIJ24" s="84"/>
      <c r="OIK24" s="84"/>
      <c r="OIL24" s="84"/>
      <c r="OIM24" s="84"/>
      <c r="OIN24" s="84"/>
      <c r="OIO24" s="84"/>
      <c r="OIP24" s="84"/>
      <c r="OIQ24" s="84"/>
      <c r="OIR24" s="84"/>
      <c r="OIS24" s="84"/>
      <c r="OIT24" s="84"/>
      <c r="OIU24" s="84"/>
      <c r="OIV24" s="84"/>
      <c r="OIW24" s="84"/>
      <c r="OIX24" s="84"/>
      <c r="OIY24" s="84"/>
      <c r="OIZ24" s="84"/>
      <c r="OJA24" s="84"/>
      <c r="OJB24" s="84"/>
      <c r="OJC24" s="84"/>
      <c r="OJD24" s="84"/>
      <c r="OJE24" s="84"/>
      <c r="OJF24" s="84"/>
      <c r="OJG24" s="84"/>
      <c r="OJH24" s="84"/>
      <c r="OJI24" s="84"/>
      <c r="OJJ24" s="84"/>
      <c r="OJK24" s="84"/>
      <c r="OJL24" s="84"/>
      <c r="OJM24" s="84"/>
      <c r="OJN24" s="84"/>
      <c r="OJO24" s="84"/>
      <c r="OJP24" s="84"/>
      <c r="OJQ24" s="84"/>
      <c r="OJR24" s="84"/>
      <c r="OJS24" s="84"/>
      <c r="OJT24" s="84"/>
      <c r="OJU24" s="84"/>
      <c r="OJV24" s="84"/>
      <c r="OJW24" s="84"/>
      <c r="OJX24" s="84"/>
      <c r="OJY24" s="84"/>
      <c r="OJZ24" s="84"/>
      <c r="OKA24" s="84"/>
      <c r="OKB24" s="84"/>
      <c r="OKC24" s="84"/>
      <c r="OKD24" s="84"/>
      <c r="OKE24" s="84"/>
      <c r="OKF24" s="84"/>
      <c r="OKG24" s="84"/>
      <c r="OKH24" s="84"/>
      <c r="OKI24" s="84"/>
      <c r="OKJ24" s="84"/>
      <c r="OKK24" s="84"/>
      <c r="OKL24" s="84"/>
      <c r="OKM24" s="84"/>
      <c r="OKN24" s="84"/>
      <c r="OKO24" s="84"/>
      <c r="OKP24" s="84"/>
      <c r="OKQ24" s="84"/>
      <c r="OKR24" s="84"/>
      <c r="OKS24" s="84"/>
      <c r="OKT24" s="84"/>
      <c r="OKU24" s="84"/>
      <c r="OKV24" s="84"/>
      <c r="OKW24" s="84"/>
      <c r="OKX24" s="84"/>
      <c r="OKY24" s="84"/>
      <c r="OKZ24" s="84"/>
      <c r="OLA24" s="84"/>
      <c r="OLB24" s="84"/>
      <c r="OLC24" s="84"/>
      <c r="OLD24" s="84"/>
      <c r="OLE24" s="84"/>
      <c r="OLF24" s="84"/>
      <c r="OLG24" s="84"/>
      <c r="OLH24" s="84"/>
      <c r="OLI24" s="84"/>
      <c r="OLJ24" s="84"/>
      <c r="OLK24" s="84"/>
      <c r="OLL24" s="84"/>
      <c r="OLM24" s="84"/>
      <c r="OLN24" s="84"/>
      <c r="OLO24" s="84"/>
      <c r="OLP24" s="84"/>
      <c r="OLQ24" s="84"/>
      <c r="OLR24" s="84"/>
      <c r="OLS24" s="84"/>
      <c r="OLT24" s="84"/>
      <c r="OLU24" s="84"/>
      <c r="OLV24" s="84"/>
      <c r="OLW24" s="84"/>
      <c r="OLX24" s="84"/>
      <c r="OLY24" s="84"/>
      <c r="OLZ24" s="84"/>
      <c r="OMA24" s="84"/>
      <c r="OMB24" s="84"/>
      <c r="OMC24" s="84"/>
      <c r="OMD24" s="84"/>
      <c r="OME24" s="84"/>
      <c r="OMF24" s="84"/>
      <c r="OMG24" s="84"/>
      <c r="OMH24" s="84"/>
      <c r="OMI24" s="84"/>
      <c r="OMJ24" s="84"/>
      <c r="OMK24" s="84"/>
      <c r="OML24" s="84"/>
      <c r="OMM24" s="84"/>
      <c r="OMN24" s="84"/>
      <c r="OMO24" s="84"/>
      <c r="OMP24" s="84"/>
      <c r="OMQ24" s="84"/>
      <c r="OMR24" s="84"/>
      <c r="OMS24" s="84"/>
      <c r="OMT24" s="84"/>
      <c r="OMU24" s="84"/>
      <c r="OMV24" s="84"/>
      <c r="OMW24" s="84"/>
      <c r="OMX24" s="84"/>
      <c r="OMY24" s="84"/>
      <c r="OMZ24" s="84"/>
      <c r="ONA24" s="84"/>
      <c r="ONB24" s="84"/>
      <c r="ONC24" s="84"/>
      <c r="OND24" s="84"/>
      <c r="ONE24" s="84"/>
      <c r="ONF24" s="84"/>
      <c r="ONG24" s="84"/>
      <c r="ONH24" s="84"/>
      <c r="ONI24" s="84"/>
      <c r="ONJ24" s="84"/>
      <c r="ONK24" s="84"/>
      <c r="ONL24" s="84"/>
      <c r="ONM24" s="84"/>
      <c r="ONN24" s="84"/>
      <c r="ONO24" s="84"/>
      <c r="ONP24" s="84"/>
      <c r="ONQ24" s="84"/>
      <c r="ONR24" s="84"/>
      <c r="ONS24" s="84"/>
      <c r="ONT24" s="84"/>
      <c r="ONU24" s="84"/>
      <c r="ONV24" s="84"/>
      <c r="ONW24" s="84"/>
      <c r="ONX24" s="84"/>
      <c r="ONY24" s="84"/>
      <c r="ONZ24" s="84"/>
      <c r="OOA24" s="84"/>
      <c r="OOB24" s="84"/>
      <c r="OOC24" s="84"/>
      <c r="OOD24" s="84"/>
      <c r="OOE24" s="84"/>
      <c r="OOF24" s="84"/>
      <c r="OOG24" s="84"/>
      <c r="OOH24" s="84"/>
      <c r="OOI24" s="84"/>
      <c r="OOJ24" s="84"/>
      <c r="OOK24" s="84"/>
      <c r="OOL24" s="84"/>
      <c r="OOM24" s="84"/>
      <c r="OON24" s="84"/>
      <c r="OOO24" s="84"/>
      <c r="OOP24" s="84"/>
      <c r="OOQ24" s="84"/>
      <c r="OOR24" s="84"/>
      <c r="OOS24" s="84"/>
      <c r="OOT24" s="84"/>
      <c r="OOU24" s="84"/>
      <c r="OOV24" s="84"/>
      <c r="OOW24" s="84"/>
      <c r="OOX24" s="84"/>
      <c r="OOY24" s="84"/>
      <c r="OOZ24" s="84"/>
      <c r="OPA24" s="84"/>
      <c r="OPB24" s="84"/>
      <c r="OPC24" s="84"/>
      <c r="OPD24" s="84"/>
      <c r="OPE24" s="84"/>
      <c r="OPF24" s="84"/>
      <c r="OPG24" s="84"/>
      <c r="OPH24" s="84"/>
      <c r="OPI24" s="84"/>
      <c r="OPJ24" s="84"/>
      <c r="OPK24" s="84"/>
      <c r="OPL24" s="84"/>
      <c r="OPM24" s="84"/>
      <c r="OPN24" s="84"/>
      <c r="OPO24" s="84"/>
      <c r="OPP24" s="84"/>
      <c r="OPQ24" s="84"/>
      <c r="OPR24" s="84"/>
      <c r="OPS24" s="84"/>
      <c r="OPT24" s="84"/>
      <c r="OPU24" s="84"/>
      <c r="OPV24" s="84"/>
      <c r="OPW24" s="84"/>
      <c r="OPX24" s="84"/>
      <c r="OPY24" s="84"/>
      <c r="OPZ24" s="84"/>
      <c r="OQA24" s="84"/>
      <c r="OQB24" s="84"/>
      <c r="OQC24" s="84"/>
      <c r="OQD24" s="84"/>
      <c r="OQE24" s="84"/>
      <c r="OQF24" s="84"/>
      <c r="OQG24" s="84"/>
      <c r="OQH24" s="84"/>
      <c r="OQI24" s="84"/>
      <c r="OQJ24" s="84"/>
      <c r="OQK24" s="84"/>
      <c r="OQL24" s="84"/>
      <c r="OQM24" s="84"/>
      <c r="OQN24" s="84"/>
      <c r="OQO24" s="84"/>
      <c r="OQP24" s="84"/>
      <c r="OQQ24" s="84"/>
      <c r="OQR24" s="84"/>
      <c r="OQS24" s="84"/>
      <c r="OQT24" s="84"/>
      <c r="OQU24" s="84"/>
      <c r="OQV24" s="84"/>
      <c r="OQW24" s="84"/>
      <c r="OQX24" s="84"/>
      <c r="OQY24" s="84"/>
      <c r="OQZ24" s="84"/>
      <c r="ORA24" s="84"/>
      <c r="ORB24" s="84"/>
      <c r="ORC24" s="84"/>
      <c r="ORD24" s="84"/>
      <c r="ORE24" s="84"/>
      <c r="ORF24" s="84"/>
      <c r="ORG24" s="84"/>
      <c r="ORH24" s="84"/>
      <c r="ORI24" s="84"/>
      <c r="ORJ24" s="84"/>
      <c r="ORK24" s="84"/>
      <c r="ORL24" s="84"/>
      <c r="ORM24" s="84"/>
      <c r="ORN24" s="84"/>
      <c r="ORO24" s="84"/>
      <c r="ORP24" s="84"/>
      <c r="ORQ24" s="84"/>
      <c r="ORR24" s="84"/>
      <c r="ORS24" s="84"/>
      <c r="ORT24" s="84"/>
      <c r="ORU24" s="84"/>
      <c r="ORV24" s="84"/>
      <c r="ORW24" s="84"/>
      <c r="ORX24" s="84"/>
      <c r="ORY24" s="84"/>
      <c r="ORZ24" s="84"/>
      <c r="OSA24" s="84"/>
      <c r="OSB24" s="84"/>
      <c r="OSC24" s="84"/>
      <c r="OSD24" s="84"/>
      <c r="OSE24" s="84"/>
      <c r="OSF24" s="84"/>
      <c r="OSG24" s="84"/>
      <c r="OSH24" s="84"/>
      <c r="OSI24" s="84"/>
      <c r="OSJ24" s="84"/>
      <c r="OSK24" s="84"/>
      <c r="OSL24" s="84"/>
      <c r="OSM24" s="84"/>
      <c r="OSN24" s="84"/>
      <c r="OSO24" s="84"/>
      <c r="OSP24" s="84"/>
      <c r="OSQ24" s="84"/>
      <c r="OSR24" s="84"/>
      <c r="OSS24" s="84"/>
      <c r="OST24" s="84"/>
      <c r="OSU24" s="84"/>
      <c r="OSV24" s="84"/>
      <c r="OSW24" s="84"/>
      <c r="OSX24" s="84"/>
      <c r="OSY24" s="84"/>
      <c r="OSZ24" s="84"/>
      <c r="OTA24" s="84"/>
      <c r="OTB24" s="84"/>
      <c r="OTC24" s="84"/>
      <c r="OTD24" s="84"/>
      <c r="OTE24" s="84"/>
      <c r="OTF24" s="84"/>
      <c r="OTG24" s="84"/>
      <c r="OTH24" s="84"/>
      <c r="OTI24" s="84"/>
      <c r="OTJ24" s="84"/>
      <c r="OTK24" s="84"/>
      <c r="OTL24" s="84"/>
      <c r="OTM24" s="84"/>
      <c r="OTN24" s="84"/>
      <c r="OTO24" s="84"/>
      <c r="OTP24" s="84"/>
      <c r="OTQ24" s="84"/>
      <c r="OTR24" s="84"/>
      <c r="OTS24" s="84"/>
      <c r="OTT24" s="84"/>
      <c r="OTU24" s="84"/>
      <c r="OTV24" s="84"/>
      <c r="OTW24" s="84"/>
      <c r="OTX24" s="84"/>
      <c r="OTY24" s="84"/>
      <c r="OTZ24" s="84"/>
      <c r="OUA24" s="84"/>
      <c r="OUB24" s="84"/>
      <c r="OUC24" s="84"/>
      <c r="OUD24" s="84"/>
      <c r="OUE24" s="84"/>
      <c r="OUF24" s="84"/>
      <c r="OUG24" s="84"/>
      <c r="OUH24" s="84"/>
      <c r="OUI24" s="84"/>
      <c r="OUJ24" s="84"/>
      <c r="OUK24" s="84"/>
      <c r="OUL24" s="84"/>
      <c r="OUM24" s="84"/>
      <c r="OUN24" s="84"/>
      <c r="OUO24" s="84"/>
      <c r="OUP24" s="84"/>
      <c r="OUQ24" s="84"/>
      <c r="OUR24" s="84"/>
      <c r="OUS24" s="84"/>
      <c r="OUT24" s="84"/>
      <c r="OUU24" s="84"/>
      <c r="OUV24" s="84"/>
      <c r="OUW24" s="84"/>
      <c r="OUX24" s="84"/>
      <c r="OUY24" s="84"/>
      <c r="OUZ24" s="84"/>
      <c r="OVA24" s="84"/>
      <c r="OVB24" s="84"/>
      <c r="OVC24" s="84"/>
      <c r="OVD24" s="84"/>
      <c r="OVE24" s="84"/>
      <c r="OVF24" s="84"/>
      <c r="OVG24" s="84"/>
      <c r="OVH24" s="84"/>
      <c r="OVI24" s="84"/>
      <c r="OVJ24" s="84"/>
      <c r="OVK24" s="84"/>
      <c r="OVL24" s="84"/>
      <c r="OVM24" s="84"/>
      <c r="OVN24" s="84"/>
      <c r="OVO24" s="84"/>
      <c r="OVP24" s="84"/>
      <c r="OVQ24" s="84"/>
      <c r="OVR24" s="84"/>
      <c r="OVS24" s="84"/>
      <c r="OVT24" s="84"/>
      <c r="OVU24" s="84"/>
      <c r="OVV24" s="84"/>
      <c r="OVW24" s="84"/>
      <c r="OVX24" s="84"/>
      <c r="OVY24" s="84"/>
      <c r="OVZ24" s="84"/>
      <c r="OWA24" s="84"/>
      <c r="OWB24" s="84"/>
      <c r="OWC24" s="84"/>
      <c r="OWD24" s="84"/>
      <c r="OWE24" s="84"/>
      <c r="OWF24" s="84"/>
      <c r="OWG24" s="84"/>
      <c r="OWH24" s="84"/>
      <c r="OWI24" s="84"/>
      <c r="OWJ24" s="84"/>
      <c r="OWK24" s="84"/>
      <c r="OWL24" s="84"/>
      <c r="OWM24" s="84"/>
      <c r="OWN24" s="84"/>
      <c r="OWO24" s="84"/>
      <c r="OWP24" s="84"/>
      <c r="OWQ24" s="84"/>
      <c r="OWR24" s="84"/>
      <c r="OWS24" s="84"/>
      <c r="OWT24" s="84"/>
      <c r="OWU24" s="84"/>
      <c r="OWV24" s="84"/>
      <c r="OWW24" s="84"/>
      <c r="OWX24" s="84"/>
      <c r="OWY24" s="84"/>
      <c r="OWZ24" s="84"/>
      <c r="OXA24" s="84"/>
      <c r="OXB24" s="84"/>
      <c r="OXC24" s="84"/>
      <c r="OXD24" s="84"/>
      <c r="OXE24" s="84"/>
      <c r="OXF24" s="84"/>
      <c r="OXG24" s="84"/>
      <c r="OXH24" s="84"/>
      <c r="OXI24" s="84"/>
      <c r="OXJ24" s="84"/>
      <c r="OXK24" s="84"/>
      <c r="OXL24" s="84"/>
      <c r="OXM24" s="84"/>
      <c r="OXN24" s="84"/>
      <c r="OXO24" s="84"/>
      <c r="OXP24" s="84"/>
      <c r="OXQ24" s="84"/>
      <c r="OXR24" s="84"/>
      <c r="OXS24" s="84"/>
      <c r="OXT24" s="84"/>
      <c r="OXU24" s="84"/>
      <c r="OXV24" s="84"/>
      <c r="OXW24" s="84"/>
      <c r="OXX24" s="84"/>
      <c r="OXY24" s="84"/>
      <c r="OXZ24" s="84"/>
      <c r="OYA24" s="84"/>
      <c r="OYB24" s="84"/>
      <c r="OYC24" s="84"/>
      <c r="OYD24" s="84"/>
      <c r="OYE24" s="84"/>
      <c r="OYF24" s="84"/>
      <c r="OYG24" s="84"/>
      <c r="OYH24" s="84"/>
      <c r="OYI24" s="84"/>
      <c r="OYJ24" s="84"/>
      <c r="OYK24" s="84"/>
      <c r="OYL24" s="84"/>
      <c r="OYM24" s="84"/>
      <c r="OYN24" s="84"/>
      <c r="OYO24" s="84"/>
      <c r="OYP24" s="84"/>
      <c r="OYQ24" s="84"/>
      <c r="OYR24" s="84"/>
      <c r="OYS24" s="84"/>
      <c r="OYT24" s="84"/>
      <c r="OYU24" s="84"/>
      <c r="OYV24" s="84"/>
      <c r="OYW24" s="84"/>
      <c r="OYX24" s="84"/>
      <c r="OYY24" s="84"/>
      <c r="OYZ24" s="84"/>
      <c r="OZA24" s="84"/>
      <c r="OZB24" s="84"/>
      <c r="OZC24" s="84"/>
      <c r="OZD24" s="84"/>
      <c r="OZE24" s="84"/>
      <c r="OZF24" s="84"/>
      <c r="OZG24" s="84"/>
      <c r="OZH24" s="84"/>
      <c r="OZI24" s="84"/>
      <c r="OZJ24" s="84"/>
      <c r="OZK24" s="84"/>
      <c r="OZL24" s="84"/>
      <c r="OZM24" s="84"/>
      <c r="OZN24" s="84"/>
      <c r="OZO24" s="84"/>
      <c r="OZP24" s="84"/>
      <c r="OZQ24" s="84"/>
      <c r="OZR24" s="84"/>
      <c r="OZS24" s="84"/>
      <c r="OZT24" s="84"/>
      <c r="OZU24" s="84"/>
      <c r="OZV24" s="84"/>
      <c r="OZW24" s="84"/>
      <c r="OZX24" s="84"/>
      <c r="OZY24" s="84"/>
      <c r="OZZ24" s="84"/>
      <c r="PAA24" s="84"/>
      <c r="PAB24" s="84"/>
      <c r="PAC24" s="84"/>
      <c r="PAD24" s="84"/>
      <c r="PAE24" s="84"/>
      <c r="PAF24" s="84"/>
      <c r="PAG24" s="84"/>
      <c r="PAH24" s="84"/>
      <c r="PAI24" s="84"/>
      <c r="PAJ24" s="84"/>
      <c r="PAK24" s="84"/>
      <c r="PAL24" s="84"/>
      <c r="PAM24" s="84"/>
      <c r="PAN24" s="84"/>
      <c r="PAO24" s="84"/>
      <c r="PAP24" s="84"/>
      <c r="PAQ24" s="84"/>
      <c r="PAR24" s="84"/>
      <c r="PAS24" s="84"/>
      <c r="PAT24" s="84"/>
      <c r="PAU24" s="84"/>
      <c r="PAV24" s="84"/>
      <c r="PAW24" s="84"/>
      <c r="PAX24" s="84"/>
      <c r="PAY24" s="84"/>
      <c r="PAZ24" s="84"/>
      <c r="PBA24" s="84"/>
      <c r="PBB24" s="84"/>
      <c r="PBC24" s="84"/>
      <c r="PBD24" s="84"/>
      <c r="PBE24" s="84"/>
      <c r="PBF24" s="84"/>
      <c r="PBG24" s="84"/>
      <c r="PBH24" s="84"/>
      <c r="PBI24" s="84"/>
      <c r="PBJ24" s="84"/>
      <c r="PBK24" s="84"/>
      <c r="PBL24" s="84"/>
      <c r="PBM24" s="84"/>
      <c r="PBN24" s="84"/>
      <c r="PBO24" s="84"/>
      <c r="PBP24" s="84"/>
      <c r="PBQ24" s="84"/>
      <c r="PBR24" s="84"/>
      <c r="PBS24" s="84"/>
      <c r="PBT24" s="84"/>
      <c r="PBU24" s="84"/>
      <c r="PBV24" s="84"/>
      <c r="PBW24" s="84"/>
      <c r="PBX24" s="84"/>
      <c r="PBY24" s="84"/>
      <c r="PBZ24" s="84"/>
      <c r="PCA24" s="84"/>
      <c r="PCB24" s="84"/>
      <c r="PCC24" s="84"/>
      <c r="PCD24" s="84"/>
      <c r="PCE24" s="84"/>
      <c r="PCF24" s="84"/>
      <c r="PCG24" s="84"/>
      <c r="PCH24" s="84"/>
      <c r="PCI24" s="84"/>
      <c r="PCJ24" s="84"/>
      <c r="PCK24" s="84"/>
      <c r="PCL24" s="84"/>
      <c r="PCM24" s="84"/>
      <c r="PCN24" s="84"/>
      <c r="PCO24" s="84"/>
      <c r="PCP24" s="84"/>
      <c r="PCQ24" s="84"/>
      <c r="PCR24" s="84"/>
      <c r="PCS24" s="84"/>
      <c r="PCT24" s="84"/>
      <c r="PCU24" s="84"/>
      <c r="PCV24" s="84"/>
      <c r="PCW24" s="84"/>
      <c r="PCX24" s="84"/>
      <c r="PCY24" s="84"/>
      <c r="PCZ24" s="84"/>
      <c r="PDA24" s="84"/>
      <c r="PDB24" s="84"/>
      <c r="PDC24" s="84"/>
      <c r="PDD24" s="84"/>
      <c r="PDE24" s="84"/>
      <c r="PDF24" s="84"/>
      <c r="PDG24" s="84"/>
      <c r="PDH24" s="84"/>
      <c r="PDI24" s="84"/>
      <c r="PDJ24" s="84"/>
      <c r="PDK24" s="84"/>
      <c r="PDL24" s="84"/>
      <c r="PDM24" s="84"/>
      <c r="PDN24" s="84"/>
      <c r="PDO24" s="84"/>
      <c r="PDP24" s="84"/>
      <c r="PDQ24" s="84"/>
      <c r="PDR24" s="84"/>
      <c r="PDS24" s="84"/>
      <c r="PDT24" s="84"/>
      <c r="PDU24" s="84"/>
      <c r="PDV24" s="84"/>
      <c r="PDW24" s="84"/>
      <c r="PDX24" s="84"/>
      <c r="PDY24" s="84"/>
      <c r="PDZ24" s="84"/>
      <c r="PEA24" s="84"/>
      <c r="PEB24" s="84"/>
      <c r="PEC24" s="84"/>
      <c r="PED24" s="84"/>
      <c r="PEE24" s="84"/>
      <c r="PEF24" s="84"/>
      <c r="PEG24" s="84"/>
      <c r="PEH24" s="84"/>
      <c r="PEI24" s="84"/>
      <c r="PEJ24" s="84"/>
      <c r="PEK24" s="84"/>
      <c r="PEL24" s="84"/>
      <c r="PEM24" s="84"/>
      <c r="PEN24" s="84"/>
      <c r="PEO24" s="84"/>
      <c r="PEP24" s="84"/>
      <c r="PEQ24" s="84"/>
      <c r="PER24" s="84"/>
      <c r="PES24" s="84"/>
      <c r="PET24" s="84"/>
      <c r="PEU24" s="84"/>
      <c r="PEV24" s="84"/>
      <c r="PEW24" s="84"/>
      <c r="PEX24" s="84"/>
      <c r="PEY24" s="84"/>
      <c r="PEZ24" s="84"/>
      <c r="PFA24" s="84"/>
      <c r="PFB24" s="84"/>
      <c r="PFC24" s="84"/>
      <c r="PFD24" s="84"/>
      <c r="PFE24" s="84"/>
      <c r="PFF24" s="84"/>
      <c r="PFG24" s="84"/>
      <c r="PFH24" s="84"/>
      <c r="PFI24" s="84"/>
      <c r="PFJ24" s="84"/>
      <c r="PFK24" s="84"/>
      <c r="PFL24" s="84"/>
      <c r="PFM24" s="84"/>
      <c r="PFN24" s="84"/>
      <c r="PFO24" s="84"/>
      <c r="PFP24" s="84"/>
      <c r="PFQ24" s="84"/>
      <c r="PFR24" s="84"/>
      <c r="PFS24" s="84"/>
      <c r="PFT24" s="84"/>
      <c r="PFU24" s="84"/>
      <c r="PFV24" s="84"/>
      <c r="PFW24" s="84"/>
      <c r="PFX24" s="84"/>
      <c r="PFY24" s="84"/>
      <c r="PFZ24" s="84"/>
      <c r="PGA24" s="84"/>
      <c r="PGB24" s="84"/>
      <c r="PGC24" s="84"/>
      <c r="PGD24" s="84"/>
      <c r="PGE24" s="84"/>
      <c r="PGF24" s="84"/>
      <c r="PGG24" s="84"/>
      <c r="PGH24" s="84"/>
      <c r="PGI24" s="84"/>
      <c r="PGJ24" s="84"/>
      <c r="PGK24" s="84"/>
      <c r="PGL24" s="84"/>
      <c r="PGM24" s="84"/>
      <c r="PGN24" s="84"/>
      <c r="PGO24" s="84"/>
      <c r="PGP24" s="84"/>
      <c r="PGQ24" s="84"/>
      <c r="PGR24" s="84"/>
      <c r="PGS24" s="84"/>
      <c r="PGT24" s="84"/>
      <c r="PGU24" s="84"/>
      <c r="PGV24" s="84"/>
      <c r="PGW24" s="84"/>
      <c r="PGX24" s="84"/>
      <c r="PGY24" s="84"/>
      <c r="PGZ24" s="84"/>
      <c r="PHA24" s="84"/>
      <c r="PHB24" s="84"/>
      <c r="PHC24" s="84"/>
      <c r="PHD24" s="84"/>
      <c r="PHE24" s="84"/>
      <c r="PHF24" s="84"/>
      <c r="PHG24" s="84"/>
      <c r="PHH24" s="84"/>
      <c r="PHI24" s="84"/>
      <c r="PHJ24" s="84"/>
      <c r="PHK24" s="84"/>
      <c r="PHL24" s="84"/>
      <c r="PHM24" s="84"/>
      <c r="PHN24" s="84"/>
      <c r="PHO24" s="84"/>
      <c r="PHP24" s="84"/>
      <c r="PHQ24" s="84"/>
      <c r="PHR24" s="84"/>
      <c r="PHS24" s="84"/>
      <c r="PHT24" s="84"/>
      <c r="PHU24" s="84"/>
      <c r="PHV24" s="84"/>
      <c r="PHW24" s="84"/>
      <c r="PHX24" s="84"/>
      <c r="PHY24" s="84"/>
      <c r="PHZ24" s="84"/>
      <c r="PIA24" s="84"/>
      <c r="PIB24" s="84"/>
      <c r="PIC24" s="84"/>
      <c r="PID24" s="84"/>
      <c r="PIE24" s="84"/>
      <c r="PIF24" s="84"/>
      <c r="PIG24" s="84"/>
      <c r="PIH24" s="84"/>
      <c r="PII24" s="84"/>
      <c r="PIJ24" s="84"/>
      <c r="PIK24" s="84"/>
      <c r="PIL24" s="84"/>
      <c r="PIM24" s="84"/>
      <c r="PIN24" s="84"/>
      <c r="PIO24" s="84"/>
      <c r="PIP24" s="84"/>
      <c r="PIQ24" s="84"/>
      <c r="PIR24" s="84"/>
      <c r="PIS24" s="84"/>
      <c r="PIT24" s="84"/>
      <c r="PIU24" s="84"/>
      <c r="PIV24" s="84"/>
      <c r="PIW24" s="84"/>
      <c r="PIX24" s="84"/>
      <c r="PIY24" s="84"/>
      <c r="PIZ24" s="84"/>
      <c r="PJA24" s="84"/>
      <c r="PJB24" s="84"/>
      <c r="PJC24" s="84"/>
      <c r="PJD24" s="84"/>
      <c r="PJE24" s="84"/>
      <c r="PJF24" s="84"/>
      <c r="PJG24" s="84"/>
      <c r="PJH24" s="84"/>
      <c r="PJI24" s="84"/>
      <c r="PJJ24" s="84"/>
      <c r="PJK24" s="84"/>
      <c r="PJL24" s="84"/>
      <c r="PJM24" s="84"/>
      <c r="PJN24" s="84"/>
      <c r="PJO24" s="84"/>
      <c r="PJP24" s="84"/>
      <c r="PJQ24" s="84"/>
      <c r="PJR24" s="84"/>
      <c r="PJS24" s="84"/>
      <c r="PJT24" s="84"/>
      <c r="PJU24" s="84"/>
      <c r="PJV24" s="84"/>
      <c r="PJW24" s="84"/>
      <c r="PJX24" s="84"/>
      <c r="PJY24" s="84"/>
      <c r="PJZ24" s="84"/>
      <c r="PKA24" s="84"/>
      <c r="PKB24" s="84"/>
      <c r="PKC24" s="84"/>
      <c r="PKD24" s="84"/>
      <c r="PKE24" s="84"/>
      <c r="PKF24" s="84"/>
      <c r="PKG24" s="84"/>
      <c r="PKH24" s="84"/>
      <c r="PKI24" s="84"/>
      <c r="PKJ24" s="84"/>
      <c r="PKK24" s="84"/>
      <c r="PKL24" s="84"/>
      <c r="PKM24" s="84"/>
      <c r="PKN24" s="84"/>
      <c r="PKO24" s="84"/>
      <c r="PKP24" s="84"/>
      <c r="PKQ24" s="84"/>
      <c r="PKR24" s="84"/>
      <c r="PKS24" s="84"/>
      <c r="PKT24" s="84"/>
      <c r="PKU24" s="84"/>
      <c r="PKV24" s="84"/>
      <c r="PKW24" s="84"/>
      <c r="PKX24" s="84"/>
      <c r="PKY24" s="84"/>
      <c r="PKZ24" s="84"/>
      <c r="PLA24" s="84"/>
      <c r="PLB24" s="84"/>
      <c r="PLC24" s="84"/>
      <c r="PLD24" s="84"/>
      <c r="PLE24" s="84"/>
      <c r="PLF24" s="84"/>
      <c r="PLG24" s="84"/>
      <c r="PLH24" s="84"/>
      <c r="PLI24" s="84"/>
      <c r="PLJ24" s="84"/>
      <c r="PLK24" s="84"/>
      <c r="PLL24" s="84"/>
      <c r="PLM24" s="84"/>
      <c r="PLN24" s="84"/>
      <c r="PLO24" s="84"/>
      <c r="PLP24" s="84"/>
      <c r="PLQ24" s="84"/>
      <c r="PLR24" s="84"/>
      <c r="PLS24" s="84"/>
      <c r="PLT24" s="84"/>
      <c r="PLU24" s="84"/>
      <c r="PLV24" s="84"/>
      <c r="PLW24" s="84"/>
      <c r="PLX24" s="84"/>
      <c r="PLY24" s="84"/>
      <c r="PLZ24" s="84"/>
      <c r="PMA24" s="84"/>
      <c r="PMB24" s="84"/>
      <c r="PMC24" s="84"/>
      <c r="PMD24" s="84"/>
      <c r="PME24" s="84"/>
      <c r="PMF24" s="84"/>
      <c r="PMG24" s="84"/>
      <c r="PMH24" s="84"/>
      <c r="PMI24" s="84"/>
      <c r="PMJ24" s="84"/>
      <c r="PMK24" s="84"/>
      <c r="PML24" s="84"/>
      <c r="PMM24" s="84"/>
      <c r="PMN24" s="84"/>
      <c r="PMO24" s="84"/>
      <c r="PMP24" s="84"/>
      <c r="PMQ24" s="84"/>
      <c r="PMR24" s="84"/>
      <c r="PMS24" s="84"/>
      <c r="PMT24" s="84"/>
      <c r="PMU24" s="84"/>
      <c r="PMV24" s="84"/>
      <c r="PMW24" s="84"/>
      <c r="PMX24" s="84"/>
      <c r="PMY24" s="84"/>
      <c r="PMZ24" s="84"/>
      <c r="PNA24" s="84"/>
      <c r="PNB24" s="84"/>
      <c r="PNC24" s="84"/>
      <c r="PND24" s="84"/>
      <c r="PNE24" s="84"/>
      <c r="PNF24" s="84"/>
      <c r="PNG24" s="84"/>
      <c r="PNH24" s="84"/>
      <c r="PNI24" s="84"/>
      <c r="PNJ24" s="84"/>
      <c r="PNK24" s="84"/>
      <c r="PNL24" s="84"/>
      <c r="PNM24" s="84"/>
      <c r="PNN24" s="84"/>
      <c r="PNO24" s="84"/>
      <c r="PNP24" s="84"/>
      <c r="PNQ24" s="84"/>
      <c r="PNR24" s="84"/>
      <c r="PNS24" s="84"/>
      <c r="PNT24" s="84"/>
      <c r="PNU24" s="84"/>
      <c r="PNV24" s="84"/>
      <c r="PNW24" s="84"/>
      <c r="PNX24" s="84"/>
      <c r="PNY24" s="84"/>
      <c r="PNZ24" s="84"/>
      <c r="POA24" s="84"/>
      <c r="POB24" s="84"/>
      <c r="POC24" s="84"/>
      <c r="POD24" s="84"/>
      <c r="POE24" s="84"/>
      <c r="POF24" s="84"/>
      <c r="POG24" s="84"/>
      <c r="POH24" s="84"/>
      <c r="POI24" s="84"/>
      <c r="POJ24" s="84"/>
      <c r="POK24" s="84"/>
      <c r="POL24" s="84"/>
      <c r="POM24" s="84"/>
      <c r="PON24" s="84"/>
      <c r="POO24" s="84"/>
      <c r="POP24" s="84"/>
      <c r="POQ24" s="84"/>
      <c r="POR24" s="84"/>
      <c r="POS24" s="84"/>
      <c r="POT24" s="84"/>
      <c r="POU24" s="84"/>
      <c r="POV24" s="84"/>
      <c r="POW24" s="84"/>
      <c r="POX24" s="84"/>
      <c r="POY24" s="84"/>
      <c r="POZ24" s="84"/>
      <c r="PPA24" s="84"/>
      <c r="PPB24" s="84"/>
      <c r="PPC24" s="84"/>
      <c r="PPD24" s="84"/>
      <c r="PPE24" s="84"/>
      <c r="PPF24" s="84"/>
      <c r="PPG24" s="84"/>
      <c r="PPH24" s="84"/>
      <c r="PPI24" s="84"/>
      <c r="PPJ24" s="84"/>
      <c r="PPK24" s="84"/>
      <c r="PPL24" s="84"/>
      <c r="PPM24" s="84"/>
      <c r="PPN24" s="84"/>
      <c r="PPO24" s="84"/>
      <c r="PPP24" s="84"/>
      <c r="PPQ24" s="84"/>
      <c r="PPR24" s="84"/>
      <c r="PPS24" s="84"/>
      <c r="PPT24" s="84"/>
      <c r="PPU24" s="84"/>
      <c r="PPV24" s="84"/>
      <c r="PPW24" s="84"/>
      <c r="PPX24" s="84"/>
      <c r="PPY24" s="84"/>
      <c r="PPZ24" s="84"/>
      <c r="PQA24" s="84"/>
      <c r="PQB24" s="84"/>
      <c r="PQC24" s="84"/>
      <c r="PQD24" s="84"/>
      <c r="PQE24" s="84"/>
      <c r="PQF24" s="84"/>
      <c r="PQG24" s="84"/>
      <c r="PQH24" s="84"/>
      <c r="PQI24" s="84"/>
      <c r="PQJ24" s="84"/>
      <c r="PQK24" s="84"/>
      <c r="PQL24" s="84"/>
      <c r="PQM24" s="84"/>
      <c r="PQN24" s="84"/>
      <c r="PQO24" s="84"/>
      <c r="PQP24" s="84"/>
      <c r="PQQ24" s="84"/>
      <c r="PQR24" s="84"/>
      <c r="PQS24" s="84"/>
      <c r="PQT24" s="84"/>
      <c r="PQU24" s="84"/>
      <c r="PQV24" s="84"/>
      <c r="PQW24" s="84"/>
      <c r="PQX24" s="84"/>
      <c r="PQY24" s="84"/>
      <c r="PQZ24" s="84"/>
      <c r="PRA24" s="84"/>
      <c r="PRB24" s="84"/>
      <c r="PRC24" s="84"/>
      <c r="PRD24" s="84"/>
      <c r="PRE24" s="84"/>
      <c r="PRF24" s="84"/>
      <c r="PRG24" s="84"/>
      <c r="PRH24" s="84"/>
      <c r="PRI24" s="84"/>
      <c r="PRJ24" s="84"/>
      <c r="PRK24" s="84"/>
      <c r="PRL24" s="84"/>
      <c r="PRM24" s="84"/>
      <c r="PRN24" s="84"/>
      <c r="PRO24" s="84"/>
      <c r="PRP24" s="84"/>
      <c r="PRQ24" s="84"/>
      <c r="PRR24" s="84"/>
      <c r="PRS24" s="84"/>
      <c r="PRT24" s="84"/>
      <c r="PRU24" s="84"/>
      <c r="PRV24" s="84"/>
      <c r="PRW24" s="84"/>
      <c r="PRX24" s="84"/>
      <c r="PRY24" s="84"/>
      <c r="PRZ24" s="84"/>
      <c r="PSA24" s="84"/>
      <c r="PSB24" s="84"/>
      <c r="PSC24" s="84"/>
      <c r="PSD24" s="84"/>
      <c r="PSE24" s="84"/>
      <c r="PSF24" s="84"/>
      <c r="PSG24" s="84"/>
      <c r="PSH24" s="84"/>
      <c r="PSI24" s="84"/>
      <c r="PSJ24" s="84"/>
      <c r="PSK24" s="84"/>
      <c r="PSL24" s="84"/>
      <c r="PSM24" s="84"/>
      <c r="PSN24" s="84"/>
      <c r="PSO24" s="84"/>
      <c r="PSP24" s="84"/>
      <c r="PSQ24" s="84"/>
      <c r="PSR24" s="84"/>
      <c r="PSS24" s="84"/>
      <c r="PST24" s="84"/>
      <c r="PSU24" s="84"/>
      <c r="PSV24" s="84"/>
      <c r="PSW24" s="84"/>
      <c r="PSX24" s="84"/>
      <c r="PSY24" s="84"/>
      <c r="PSZ24" s="84"/>
      <c r="PTA24" s="84"/>
      <c r="PTB24" s="84"/>
      <c r="PTC24" s="84"/>
      <c r="PTD24" s="84"/>
      <c r="PTE24" s="84"/>
      <c r="PTF24" s="84"/>
      <c r="PTG24" s="84"/>
      <c r="PTH24" s="84"/>
      <c r="PTI24" s="84"/>
      <c r="PTJ24" s="84"/>
      <c r="PTK24" s="84"/>
      <c r="PTL24" s="84"/>
      <c r="PTM24" s="84"/>
      <c r="PTN24" s="84"/>
      <c r="PTO24" s="84"/>
      <c r="PTP24" s="84"/>
      <c r="PTQ24" s="84"/>
      <c r="PTR24" s="84"/>
      <c r="PTS24" s="84"/>
      <c r="PTT24" s="84"/>
      <c r="PTU24" s="84"/>
      <c r="PTV24" s="84"/>
      <c r="PTW24" s="84"/>
      <c r="PTX24" s="84"/>
      <c r="PTY24" s="84"/>
      <c r="PTZ24" s="84"/>
      <c r="PUA24" s="84"/>
      <c r="PUB24" s="84"/>
      <c r="PUC24" s="84"/>
      <c r="PUD24" s="84"/>
      <c r="PUE24" s="84"/>
      <c r="PUF24" s="84"/>
      <c r="PUG24" s="84"/>
      <c r="PUH24" s="84"/>
      <c r="PUI24" s="84"/>
      <c r="PUJ24" s="84"/>
      <c r="PUK24" s="84"/>
      <c r="PUL24" s="84"/>
      <c r="PUM24" s="84"/>
      <c r="PUN24" s="84"/>
      <c r="PUO24" s="84"/>
      <c r="PUP24" s="84"/>
      <c r="PUQ24" s="84"/>
      <c r="PUR24" s="84"/>
      <c r="PUS24" s="84"/>
      <c r="PUT24" s="84"/>
      <c r="PUU24" s="84"/>
      <c r="PUV24" s="84"/>
      <c r="PUW24" s="84"/>
      <c r="PUX24" s="84"/>
      <c r="PUY24" s="84"/>
      <c r="PUZ24" s="84"/>
      <c r="PVA24" s="84"/>
      <c r="PVB24" s="84"/>
      <c r="PVC24" s="84"/>
      <c r="PVD24" s="84"/>
      <c r="PVE24" s="84"/>
      <c r="PVF24" s="84"/>
      <c r="PVG24" s="84"/>
      <c r="PVH24" s="84"/>
      <c r="PVI24" s="84"/>
      <c r="PVJ24" s="84"/>
      <c r="PVK24" s="84"/>
      <c r="PVL24" s="84"/>
      <c r="PVM24" s="84"/>
      <c r="PVN24" s="84"/>
      <c r="PVO24" s="84"/>
      <c r="PVP24" s="84"/>
      <c r="PVQ24" s="84"/>
      <c r="PVR24" s="84"/>
      <c r="PVS24" s="84"/>
      <c r="PVT24" s="84"/>
      <c r="PVU24" s="84"/>
      <c r="PVV24" s="84"/>
      <c r="PVW24" s="84"/>
      <c r="PVX24" s="84"/>
      <c r="PVY24" s="84"/>
      <c r="PVZ24" s="84"/>
      <c r="PWA24" s="84"/>
      <c r="PWB24" s="84"/>
      <c r="PWC24" s="84"/>
      <c r="PWD24" s="84"/>
      <c r="PWE24" s="84"/>
      <c r="PWF24" s="84"/>
      <c r="PWG24" s="84"/>
      <c r="PWH24" s="84"/>
      <c r="PWI24" s="84"/>
      <c r="PWJ24" s="84"/>
      <c r="PWK24" s="84"/>
      <c r="PWL24" s="84"/>
      <c r="PWM24" s="84"/>
      <c r="PWN24" s="84"/>
      <c r="PWO24" s="84"/>
      <c r="PWP24" s="84"/>
      <c r="PWQ24" s="84"/>
      <c r="PWR24" s="84"/>
      <c r="PWS24" s="84"/>
      <c r="PWT24" s="84"/>
      <c r="PWU24" s="84"/>
      <c r="PWV24" s="84"/>
      <c r="PWW24" s="84"/>
      <c r="PWX24" s="84"/>
      <c r="PWY24" s="84"/>
      <c r="PWZ24" s="84"/>
      <c r="PXA24" s="84"/>
      <c r="PXB24" s="84"/>
      <c r="PXC24" s="84"/>
      <c r="PXD24" s="84"/>
      <c r="PXE24" s="84"/>
      <c r="PXF24" s="84"/>
      <c r="PXG24" s="84"/>
      <c r="PXH24" s="84"/>
      <c r="PXI24" s="84"/>
      <c r="PXJ24" s="84"/>
      <c r="PXK24" s="84"/>
      <c r="PXL24" s="84"/>
      <c r="PXM24" s="84"/>
      <c r="PXN24" s="84"/>
      <c r="PXO24" s="84"/>
      <c r="PXP24" s="84"/>
      <c r="PXQ24" s="84"/>
      <c r="PXR24" s="84"/>
      <c r="PXS24" s="84"/>
      <c r="PXT24" s="84"/>
      <c r="PXU24" s="84"/>
      <c r="PXV24" s="84"/>
      <c r="PXW24" s="84"/>
      <c r="PXX24" s="84"/>
      <c r="PXY24" s="84"/>
      <c r="PXZ24" s="84"/>
      <c r="PYA24" s="84"/>
      <c r="PYB24" s="84"/>
      <c r="PYC24" s="84"/>
      <c r="PYD24" s="84"/>
      <c r="PYE24" s="84"/>
      <c r="PYF24" s="84"/>
      <c r="PYG24" s="84"/>
      <c r="PYH24" s="84"/>
      <c r="PYI24" s="84"/>
      <c r="PYJ24" s="84"/>
      <c r="PYK24" s="84"/>
      <c r="PYL24" s="84"/>
      <c r="PYM24" s="84"/>
      <c r="PYN24" s="84"/>
      <c r="PYO24" s="84"/>
      <c r="PYP24" s="84"/>
      <c r="PYQ24" s="84"/>
      <c r="PYR24" s="84"/>
      <c r="PYS24" s="84"/>
      <c r="PYT24" s="84"/>
      <c r="PYU24" s="84"/>
      <c r="PYV24" s="84"/>
      <c r="PYW24" s="84"/>
      <c r="PYX24" s="84"/>
      <c r="PYY24" s="84"/>
      <c r="PYZ24" s="84"/>
      <c r="PZA24" s="84"/>
      <c r="PZB24" s="84"/>
      <c r="PZC24" s="84"/>
      <c r="PZD24" s="84"/>
      <c r="PZE24" s="84"/>
      <c r="PZF24" s="84"/>
      <c r="PZG24" s="84"/>
      <c r="PZH24" s="84"/>
      <c r="PZI24" s="84"/>
      <c r="PZJ24" s="84"/>
      <c r="PZK24" s="84"/>
      <c r="PZL24" s="84"/>
      <c r="PZM24" s="84"/>
      <c r="PZN24" s="84"/>
      <c r="PZO24" s="84"/>
      <c r="PZP24" s="84"/>
      <c r="PZQ24" s="84"/>
      <c r="PZR24" s="84"/>
      <c r="PZS24" s="84"/>
      <c r="PZT24" s="84"/>
      <c r="PZU24" s="84"/>
      <c r="PZV24" s="84"/>
      <c r="PZW24" s="84"/>
      <c r="PZX24" s="84"/>
      <c r="PZY24" s="84"/>
      <c r="PZZ24" s="84"/>
      <c r="QAA24" s="84"/>
      <c r="QAB24" s="84"/>
      <c r="QAC24" s="84"/>
      <c r="QAD24" s="84"/>
      <c r="QAE24" s="84"/>
      <c r="QAF24" s="84"/>
      <c r="QAG24" s="84"/>
      <c r="QAH24" s="84"/>
      <c r="QAI24" s="84"/>
      <c r="QAJ24" s="84"/>
      <c r="QAK24" s="84"/>
      <c r="QAL24" s="84"/>
      <c r="QAM24" s="84"/>
      <c r="QAN24" s="84"/>
      <c r="QAO24" s="84"/>
      <c r="QAP24" s="84"/>
      <c r="QAQ24" s="84"/>
      <c r="QAR24" s="84"/>
      <c r="QAS24" s="84"/>
      <c r="QAT24" s="84"/>
      <c r="QAU24" s="84"/>
      <c r="QAV24" s="84"/>
      <c r="QAW24" s="84"/>
      <c r="QAX24" s="84"/>
      <c r="QAY24" s="84"/>
      <c r="QAZ24" s="84"/>
      <c r="QBA24" s="84"/>
      <c r="QBB24" s="84"/>
      <c r="QBC24" s="84"/>
      <c r="QBD24" s="84"/>
      <c r="QBE24" s="84"/>
      <c r="QBF24" s="84"/>
      <c r="QBG24" s="84"/>
      <c r="QBH24" s="84"/>
      <c r="QBI24" s="84"/>
      <c r="QBJ24" s="84"/>
      <c r="QBK24" s="84"/>
      <c r="QBL24" s="84"/>
      <c r="QBM24" s="84"/>
      <c r="QBN24" s="84"/>
      <c r="QBO24" s="84"/>
      <c r="QBP24" s="84"/>
      <c r="QBQ24" s="84"/>
      <c r="QBR24" s="84"/>
      <c r="QBS24" s="84"/>
      <c r="QBT24" s="84"/>
      <c r="QBU24" s="84"/>
      <c r="QBV24" s="84"/>
      <c r="QBW24" s="84"/>
      <c r="QBX24" s="84"/>
      <c r="QBY24" s="84"/>
      <c r="QBZ24" s="84"/>
      <c r="QCA24" s="84"/>
      <c r="QCB24" s="84"/>
      <c r="QCC24" s="84"/>
      <c r="QCD24" s="84"/>
      <c r="QCE24" s="84"/>
      <c r="QCF24" s="84"/>
      <c r="QCG24" s="84"/>
      <c r="QCH24" s="84"/>
      <c r="QCI24" s="84"/>
      <c r="QCJ24" s="84"/>
      <c r="QCK24" s="84"/>
      <c r="QCL24" s="84"/>
      <c r="QCM24" s="84"/>
      <c r="QCN24" s="84"/>
      <c r="QCO24" s="84"/>
      <c r="QCP24" s="84"/>
      <c r="QCQ24" s="84"/>
      <c r="QCR24" s="84"/>
      <c r="QCS24" s="84"/>
      <c r="QCT24" s="84"/>
      <c r="QCU24" s="84"/>
      <c r="QCV24" s="84"/>
      <c r="QCW24" s="84"/>
      <c r="QCX24" s="84"/>
      <c r="QCY24" s="84"/>
      <c r="QCZ24" s="84"/>
      <c r="QDA24" s="84"/>
      <c r="QDB24" s="84"/>
      <c r="QDC24" s="84"/>
      <c r="QDD24" s="84"/>
      <c r="QDE24" s="84"/>
      <c r="QDF24" s="84"/>
      <c r="QDG24" s="84"/>
      <c r="QDH24" s="84"/>
      <c r="QDI24" s="84"/>
      <c r="QDJ24" s="84"/>
      <c r="QDK24" s="84"/>
      <c r="QDL24" s="84"/>
      <c r="QDM24" s="84"/>
      <c r="QDN24" s="84"/>
      <c r="QDO24" s="84"/>
      <c r="QDP24" s="84"/>
      <c r="QDQ24" s="84"/>
      <c r="QDR24" s="84"/>
      <c r="QDS24" s="84"/>
      <c r="QDT24" s="84"/>
      <c r="QDU24" s="84"/>
      <c r="QDV24" s="84"/>
      <c r="QDW24" s="84"/>
      <c r="QDX24" s="84"/>
      <c r="QDY24" s="84"/>
      <c r="QDZ24" s="84"/>
      <c r="QEA24" s="84"/>
      <c r="QEB24" s="84"/>
      <c r="QEC24" s="84"/>
      <c r="QED24" s="84"/>
      <c r="QEE24" s="84"/>
      <c r="QEF24" s="84"/>
      <c r="QEG24" s="84"/>
      <c r="QEH24" s="84"/>
      <c r="QEI24" s="84"/>
      <c r="QEJ24" s="84"/>
      <c r="QEK24" s="84"/>
      <c r="QEL24" s="84"/>
      <c r="QEM24" s="84"/>
      <c r="QEN24" s="84"/>
      <c r="QEO24" s="84"/>
      <c r="QEP24" s="84"/>
      <c r="QEQ24" s="84"/>
      <c r="QER24" s="84"/>
      <c r="QES24" s="84"/>
      <c r="QET24" s="84"/>
      <c r="QEU24" s="84"/>
      <c r="QEV24" s="84"/>
      <c r="QEW24" s="84"/>
      <c r="QEX24" s="84"/>
      <c r="QEY24" s="84"/>
      <c r="QEZ24" s="84"/>
      <c r="QFA24" s="84"/>
      <c r="QFB24" s="84"/>
      <c r="QFC24" s="84"/>
      <c r="QFD24" s="84"/>
      <c r="QFE24" s="84"/>
      <c r="QFF24" s="84"/>
      <c r="QFG24" s="84"/>
      <c r="QFH24" s="84"/>
      <c r="QFI24" s="84"/>
      <c r="QFJ24" s="84"/>
      <c r="QFK24" s="84"/>
      <c r="QFL24" s="84"/>
      <c r="QFM24" s="84"/>
      <c r="QFN24" s="84"/>
      <c r="QFO24" s="84"/>
      <c r="QFP24" s="84"/>
      <c r="QFQ24" s="84"/>
      <c r="QFR24" s="84"/>
      <c r="QFS24" s="84"/>
      <c r="QFT24" s="84"/>
      <c r="QFU24" s="84"/>
      <c r="QFV24" s="84"/>
      <c r="QFW24" s="84"/>
      <c r="QFX24" s="84"/>
      <c r="QFY24" s="84"/>
      <c r="QFZ24" s="84"/>
      <c r="QGA24" s="84"/>
      <c r="QGB24" s="84"/>
      <c r="QGC24" s="84"/>
      <c r="QGD24" s="84"/>
      <c r="QGE24" s="84"/>
      <c r="QGF24" s="84"/>
      <c r="QGG24" s="84"/>
      <c r="QGH24" s="84"/>
      <c r="QGI24" s="84"/>
      <c r="QGJ24" s="84"/>
      <c r="QGK24" s="84"/>
      <c r="QGL24" s="84"/>
      <c r="QGM24" s="84"/>
      <c r="QGN24" s="84"/>
      <c r="QGO24" s="84"/>
      <c r="QGP24" s="84"/>
      <c r="QGQ24" s="84"/>
      <c r="QGR24" s="84"/>
      <c r="QGS24" s="84"/>
      <c r="QGT24" s="84"/>
      <c r="QGU24" s="84"/>
      <c r="QGV24" s="84"/>
      <c r="QGW24" s="84"/>
      <c r="QGX24" s="84"/>
      <c r="QGY24" s="84"/>
      <c r="QGZ24" s="84"/>
      <c r="QHA24" s="84"/>
      <c r="QHB24" s="84"/>
      <c r="QHC24" s="84"/>
      <c r="QHD24" s="84"/>
      <c r="QHE24" s="84"/>
      <c r="QHF24" s="84"/>
      <c r="QHG24" s="84"/>
      <c r="QHH24" s="84"/>
      <c r="QHI24" s="84"/>
      <c r="QHJ24" s="84"/>
      <c r="QHK24" s="84"/>
      <c r="QHL24" s="84"/>
      <c r="QHM24" s="84"/>
      <c r="QHN24" s="84"/>
      <c r="QHO24" s="84"/>
      <c r="QHP24" s="84"/>
      <c r="QHQ24" s="84"/>
      <c r="QHR24" s="84"/>
      <c r="QHS24" s="84"/>
      <c r="QHT24" s="84"/>
      <c r="QHU24" s="84"/>
      <c r="QHV24" s="84"/>
      <c r="QHW24" s="84"/>
      <c r="QHX24" s="84"/>
      <c r="QHY24" s="84"/>
      <c r="QHZ24" s="84"/>
      <c r="QIA24" s="84"/>
      <c r="QIB24" s="84"/>
      <c r="QIC24" s="84"/>
      <c r="QID24" s="84"/>
      <c r="QIE24" s="84"/>
      <c r="QIF24" s="84"/>
      <c r="QIG24" s="84"/>
      <c r="QIH24" s="84"/>
      <c r="QII24" s="84"/>
      <c r="QIJ24" s="84"/>
      <c r="QIK24" s="84"/>
      <c r="QIL24" s="84"/>
      <c r="QIM24" s="84"/>
      <c r="QIN24" s="84"/>
      <c r="QIO24" s="84"/>
      <c r="QIP24" s="84"/>
      <c r="QIQ24" s="84"/>
      <c r="QIR24" s="84"/>
      <c r="QIS24" s="84"/>
      <c r="QIT24" s="84"/>
      <c r="QIU24" s="84"/>
      <c r="QIV24" s="84"/>
      <c r="QIW24" s="84"/>
      <c r="QIX24" s="84"/>
      <c r="QIY24" s="84"/>
      <c r="QIZ24" s="84"/>
      <c r="QJA24" s="84"/>
      <c r="QJB24" s="84"/>
      <c r="QJC24" s="84"/>
      <c r="QJD24" s="84"/>
      <c r="QJE24" s="84"/>
      <c r="QJF24" s="84"/>
      <c r="QJG24" s="84"/>
      <c r="QJH24" s="84"/>
      <c r="QJI24" s="84"/>
      <c r="QJJ24" s="84"/>
      <c r="QJK24" s="84"/>
      <c r="QJL24" s="84"/>
      <c r="QJM24" s="84"/>
      <c r="QJN24" s="84"/>
      <c r="QJO24" s="84"/>
      <c r="QJP24" s="84"/>
      <c r="QJQ24" s="84"/>
      <c r="QJR24" s="84"/>
      <c r="QJS24" s="84"/>
      <c r="QJT24" s="84"/>
      <c r="QJU24" s="84"/>
      <c r="QJV24" s="84"/>
      <c r="QJW24" s="84"/>
      <c r="QJX24" s="84"/>
      <c r="QJY24" s="84"/>
      <c r="QJZ24" s="84"/>
      <c r="QKA24" s="84"/>
      <c r="QKB24" s="84"/>
      <c r="QKC24" s="84"/>
      <c r="QKD24" s="84"/>
      <c r="QKE24" s="84"/>
      <c r="QKF24" s="84"/>
      <c r="QKG24" s="84"/>
      <c r="QKH24" s="84"/>
      <c r="QKI24" s="84"/>
      <c r="QKJ24" s="84"/>
      <c r="QKK24" s="84"/>
      <c r="QKL24" s="84"/>
      <c r="QKM24" s="84"/>
      <c r="QKN24" s="84"/>
      <c r="QKO24" s="84"/>
      <c r="QKP24" s="84"/>
      <c r="QKQ24" s="84"/>
      <c r="QKR24" s="84"/>
      <c r="QKS24" s="84"/>
      <c r="QKT24" s="84"/>
      <c r="QKU24" s="84"/>
      <c r="QKV24" s="84"/>
      <c r="QKW24" s="84"/>
      <c r="QKX24" s="84"/>
      <c r="QKY24" s="84"/>
      <c r="QKZ24" s="84"/>
      <c r="QLA24" s="84"/>
      <c r="QLB24" s="84"/>
      <c r="QLC24" s="84"/>
      <c r="QLD24" s="84"/>
      <c r="QLE24" s="84"/>
      <c r="QLF24" s="84"/>
      <c r="QLG24" s="84"/>
      <c r="QLH24" s="84"/>
      <c r="QLI24" s="84"/>
      <c r="QLJ24" s="84"/>
      <c r="QLK24" s="84"/>
      <c r="QLL24" s="84"/>
      <c r="QLM24" s="84"/>
      <c r="QLN24" s="84"/>
      <c r="QLO24" s="84"/>
      <c r="QLP24" s="84"/>
      <c r="QLQ24" s="84"/>
      <c r="QLR24" s="84"/>
      <c r="QLS24" s="84"/>
      <c r="QLT24" s="84"/>
      <c r="QLU24" s="84"/>
      <c r="QLV24" s="84"/>
      <c r="QLW24" s="84"/>
      <c r="QLX24" s="84"/>
      <c r="QLY24" s="84"/>
      <c r="QLZ24" s="84"/>
      <c r="QMA24" s="84"/>
      <c r="QMB24" s="84"/>
      <c r="QMC24" s="84"/>
      <c r="QMD24" s="84"/>
      <c r="QME24" s="84"/>
      <c r="QMF24" s="84"/>
      <c r="QMG24" s="84"/>
      <c r="QMH24" s="84"/>
      <c r="QMI24" s="84"/>
      <c r="QMJ24" s="84"/>
      <c r="QMK24" s="84"/>
      <c r="QML24" s="84"/>
      <c r="QMM24" s="84"/>
      <c r="QMN24" s="84"/>
      <c r="QMO24" s="84"/>
      <c r="QMP24" s="84"/>
      <c r="QMQ24" s="84"/>
      <c r="QMR24" s="84"/>
      <c r="QMS24" s="84"/>
      <c r="QMT24" s="84"/>
      <c r="QMU24" s="84"/>
      <c r="QMV24" s="84"/>
      <c r="QMW24" s="84"/>
      <c r="QMX24" s="84"/>
      <c r="QMY24" s="84"/>
      <c r="QMZ24" s="84"/>
      <c r="QNA24" s="84"/>
      <c r="QNB24" s="84"/>
      <c r="QNC24" s="84"/>
      <c r="QND24" s="84"/>
      <c r="QNE24" s="84"/>
      <c r="QNF24" s="84"/>
      <c r="QNG24" s="84"/>
      <c r="QNH24" s="84"/>
      <c r="QNI24" s="84"/>
      <c r="QNJ24" s="84"/>
      <c r="QNK24" s="84"/>
      <c r="QNL24" s="84"/>
      <c r="QNM24" s="84"/>
      <c r="QNN24" s="84"/>
      <c r="QNO24" s="84"/>
      <c r="QNP24" s="84"/>
      <c r="QNQ24" s="84"/>
      <c r="QNR24" s="84"/>
      <c r="QNS24" s="84"/>
      <c r="QNT24" s="84"/>
      <c r="QNU24" s="84"/>
      <c r="QNV24" s="84"/>
      <c r="QNW24" s="84"/>
      <c r="QNX24" s="84"/>
      <c r="QNY24" s="84"/>
      <c r="QNZ24" s="84"/>
      <c r="QOA24" s="84"/>
      <c r="QOB24" s="84"/>
      <c r="QOC24" s="84"/>
      <c r="QOD24" s="84"/>
      <c r="QOE24" s="84"/>
      <c r="QOF24" s="84"/>
      <c r="QOG24" s="84"/>
      <c r="QOH24" s="84"/>
      <c r="QOI24" s="84"/>
      <c r="QOJ24" s="84"/>
      <c r="QOK24" s="84"/>
      <c r="QOL24" s="84"/>
      <c r="QOM24" s="84"/>
      <c r="QON24" s="84"/>
      <c r="QOO24" s="84"/>
      <c r="QOP24" s="84"/>
      <c r="QOQ24" s="84"/>
      <c r="QOR24" s="84"/>
      <c r="QOS24" s="84"/>
      <c r="QOT24" s="84"/>
      <c r="QOU24" s="84"/>
      <c r="QOV24" s="84"/>
      <c r="QOW24" s="84"/>
      <c r="QOX24" s="84"/>
      <c r="QOY24" s="84"/>
      <c r="QOZ24" s="84"/>
      <c r="QPA24" s="84"/>
      <c r="QPB24" s="84"/>
      <c r="QPC24" s="84"/>
      <c r="QPD24" s="84"/>
      <c r="QPE24" s="84"/>
      <c r="QPF24" s="84"/>
      <c r="QPG24" s="84"/>
      <c r="QPH24" s="84"/>
      <c r="QPI24" s="84"/>
      <c r="QPJ24" s="84"/>
      <c r="QPK24" s="84"/>
      <c r="QPL24" s="84"/>
      <c r="QPM24" s="84"/>
      <c r="QPN24" s="84"/>
      <c r="QPO24" s="84"/>
      <c r="QPP24" s="84"/>
      <c r="QPQ24" s="84"/>
      <c r="QPR24" s="84"/>
      <c r="QPS24" s="84"/>
      <c r="QPT24" s="84"/>
      <c r="QPU24" s="84"/>
      <c r="QPV24" s="84"/>
      <c r="QPW24" s="84"/>
      <c r="QPX24" s="84"/>
      <c r="QPY24" s="84"/>
      <c r="QPZ24" s="84"/>
      <c r="QQA24" s="84"/>
      <c r="QQB24" s="84"/>
      <c r="QQC24" s="84"/>
      <c r="QQD24" s="84"/>
      <c r="QQE24" s="84"/>
      <c r="QQF24" s="84"/>
      <c r="QQG24" s="84"/>
      <c r="QQH24" s="84"/>
      <c r="QQI24" s="84"/>
      <c r="QQJ24" s="84"/>
      <c r="QQK24" s="84"/>
      <c r="QQL24" s="84"/>
      <c r="QQM24" s="84"/>
      <c r="QQN24" s="84"/>
      <c r="QQO24" s="84"/>
      <c r="QQP24" s="84"/>
      <c r="QQQ24" s="84"/>
      <c r="QQR24" s="84"/>
      <c r="QQS24" s="84"/>
      <c r="QQT24" s="84"/>
      <c r="QQU24" s="84"/>
      <c r="QQV24" s="84"/>
      <c r="QQW24" s="84"/>
      <c r="QQX24" s="84"/>
      <c r="QQY24" s="84"/>
      <c r="QQZ24" s="84"/>
      <c r="QRA24" s="84"/>
      <c r="QRB24" s="84"/>
      <c r="QRC24" s="84"/>
      <c r="QRD24" s="84"/>
      <c r="QRE24" s="84"/>
      <c r="QRF24" s="84"/>
      <c r="QRG24" s="84"/>
      <c r="QRH24" s="84"/>
      <c r="QRI24" s="84"/>
      <c r="QRJ24" s="84"/>
      <c r="QRK24" s="84"/>
      <c r="QRL24" s="84"/>
      <c r="QRM24" s="84"/>
      <c r="QRN24" s="84"/>
      <c r="QRO24" s="84"/>
      <c r="QRP24" s="84"/>
      <c r="QRQ24" s="84"/>
      <c r="QRR24" s="84"/>
      <c r="QRS24" s="84"/>
      <c r="QRT24" s="84"/>
      <c r="QRU24" s="84"/>
      <c r="QRV24" s="84"/>
      <c r="QRW24" s="84"/>
      <c r="QRX24" s="84"/>
      <c r="QRY24" s="84"/>
      <c r="QRZ24" s="84"/>
      <c r="QSA24" s="84"/>
      <c r="QSB24" s="84"/>
      <c r="QSC24" s="84"/>
      <c r="QSD24" s="84"/>
      <c r="QSE24" s="84"/>
      <c r="QSF24" s="84"/>
      <c r="QSG24" s="84"/>
      <c r="QSH24" s="84"/>
      <c r="QSI24" s="84"/>
      <c r="QSJ24" s="84"/>
      <c r="QSK24" s="84"/>
      <c r="QSL24" s="84"/>
      <c r="QSM24" s="84"/>
      <c r="QSN24" s="84"/>
      <c r="QSO24" s="84"/>
      <c r="QSP24" s="84"/>
      <c r="QSQ24" s="84"/>
      <c r="QSR24" s="84"/>
      <c r="QSS24" s="84"/>
      <c r="QST24" s="84"/>
      <c r="QSU24" s="84"/>
      <c r="QSV24" s="84"/>
      <c r="QSW24" s="84"/>
      <c r="QSX24" s="84"/>
      <c r="QSY24" s="84"/>
      <c r="QSZ24" s="84"/>
      <c r="QTA24" s="84"/>
      <c r="QTB24" s="84"/>
      <c r="QTC24" s="84"/>
      <c r="QTD24" s="84"/>
      <c r="QTE24" s="84"/>
      <c r="QTF24" s="84"/>
      <c r="QTG24" s="84"/>
      <c r="QTH24" s="84"/>
      <c r="QTI24" s="84"/>
      <c r="QTJ24" s="84"/>
      <c r="QTK24" s="84"/>
      <c r="QTL24" s="84"/>
      <c r="QTM24" s="84"/>
      <c r="QTN24" s="84"/>
      <c r="QTO24" s="84"/>
      <c r="QTP24" s="84"/>
      <c r="QTQ24" s="84"/>
      <c r="QTR24" s="84"/>
      <c r="QTS24" s="84"/>
      <c r="QTT24" s="84"/>
      <c r="QTU24" s="84"/>
      <c r="QTV24" s="84"/>
      <c r="QTW24" s="84"/>
      <c r="QTX24" s="84"/>
      <c r="QTY24" s="84"/>
      <c r="QTZ24" s="84"/>
      <c r="QUA24" s="84"/>
      <c r="QUB24" s="84"/>
      <c r="QUC24" s="84"/>
      <c r="QUD24" s="84"/>
      <c r="QUE24" s="84"/>
      <c r="QUF24" s="84"/>
      <c r="QUG24" s="84"/>
      <c r="QUH24" s="84"/>
      <c r="QUI24" s="84"/>
      <c r="QUJ24" s="84"/>
      <c r="QUK24" s="84"/>
      <c r="QUL24" s="84"/>
      <c r="QUM24" s="84"/>
      <c r="QUN24" s="84"/>
      <c r="QUO24" s="84"/>
      <c r="QUP24" s="84"/>
      <c r="QUQ24" s="84"/>
      <c r="QUR24" s="84"/>
      <c r="QUS24" s="84"/>
      <c r="QUT24" s="84"/>
      <c r="QUU24" s="84"/>
      <c r="QUV24" s="84"/>
      <c r="QUW24" s="84"/>
      <c r="QUX24" s="84"/>
      <c r="QUY24" s="84"/>
      <c r="QUZ24" s="84"/>
      <c r="QVA24" s="84"/>
      <c r="QVB24" s="84"/>
      <c r="QVC24" s="84"/>
      <c r="QVD24" s="84"/>
      <c r="QVE24" s="84"/>
      <c r="QVF24" s="84"/>
      <c r="QVG24" s="84"/>
      <c r="QVH24" s="84"/>
      <c r="QVI24" s="84"/>
      <c r="QVJ24" s="84"/>
      <c r="QVK24" s="84"/>
      <c r="QVL24" s="84"/>
      <c r="QVM24" s="84"/>
      <c r="QVN24" s="84"/>
      <c r="QVO24" s="84"/>
      <c r="QVP24" s="84"/>
      <c r="QVQ24" s="84"/>
      <c r="QVR24" s="84"/>
      <c r="QVS24" s="84"/>
      <c r="QVT24" s="84"/>
      <c r="QVU24" s="84"/>
      <c r="QVV24" s="84"/>
      <c r="QVW24" s="84"/>
      <c r="QVX24" s="84"/>
      <c r="QVY24" s="84"/>
      <c r="QVZ24" s="84"/>
      <c r="QWA24" s="84"/>
      <c r="QWB24" s="84"/>
      <c r="QWC24" s="84"/>
      <c r="QWD24" s="84"/>
      <c r="QWE24" s="84"/>
      <c r="QWF24" s="84"/>
      <c r="QWG24" s="84"/>
      <c r="QWH24" s="84"/>
      <c r="QWI24" s="84"/>
      <c r="QWJ24" s="84"/>
      <c r="QWK24" s="84"/>
      <c r="QWL24" s="84"/>
      <c r="QWM24" s="84"/>
      <c r="QWN24" s="84"/>
      <c r="QWO24" s="84"/>
      <c r="QWP24" s="84"/>
      <c r="QWQ24" s="84"/>
      <c r="QWR24" s="84"/>
      <c r="QWS24" s="84"/>
      <c r="QWT24" s="84"/>
      <c r="QWU24" s="84"/>
      <c r="QWV24" s="84"/>
      <c r="QWW24" s="84"/>
      <c r="QWX24" s="84"/>
      <c r="QWY24" s="84"/>
      <c r="QWZ24" s="84"/>
      <c r="QXA24" s="84"/>
      <c r="QXB24" s="84"/>
      <c r="QXC24" s="84"/>
      <c r="QXD24" s="84"/>
      <c r="QXE24" s="84"/>
      <c r="QXF24" s="84"/>
      <c r="QXG24" s="84"/>
      <c r="QXH24" s="84"/>
      <c r="QXI24" s="84"/>
      <c r="QXJ24" s="84"/>
      <c r="QXK24" s="84"/>
      <c r="QXL24" s="84"/>
      <c r="QXM24" s="84"/>
      <c r="QXN24" s="84"/>
      <c r="QXO24" s="84"/>
      <c r="QXP24" s="84"/>
      <c r="QXQ24" s="84"/>
      <c r="QXR24" s="84"/>
      <c r="QXS24" s="84"/>
      <c r="QXT24" s="84"/>
      <c r="QXU24" s="84"/>
      <c r="QXV24" s="84"/>
      <c r="QXW24" s="84"/>
      <c r="QXX24" s="84"/>
      <c r="QXY24" s="84"/>
      <c r="QXZ24" s="84"/>
      <c r="QYA24" s="84"/>
      <c r="QYB24" s="84"/>
      <c r="QYC24" s="84"/>
      <c r="QYD24" s="84"/>
      <c r="QYE24" s="84"/>
      <c r="QYF24" s="84"/>
      <c r="QYG24" s="84"/>
      <c r="QYH24" s="84"/>
      <c r="QYI24" s="84"/>
      <c r="QYJ24" s="84"/>
      <c r="QYK24" s="84"/>
      <c r="QYL24" s="84"/>
      <c r="QYM24" s="84"/>
      <c r="QYN24" s="84"/>
      <c r="QYO24" s="84"/>
      <c r="QYP24" s="84"/>
      <c r="QYQ24" s="84"/>
      <c r="QYR24" s="84"/>
      <c r="QYS24" s="84"/>
      <c r="QYT24" s="84"/>
      <c r="QYU24" s="84"/>
      <c r="QYV24" s="84"/>
      <c r="QYW24" s="84"/>
      <c r="QYX24" s="84"/>
      <c r="QYY24" s="84"/>
      <c r="QYZ24" s="84"/>
      <c r="QZA24" s="84"/>
      <c r="QZB24" s="84"/>
      <c r="QZC24" s="84"/>
      <c r="QZD24" s="84"/>
      <c r="QZE24" s="84"/>
      <c r="QZF24" s="84"/>
      <c r="QZG24" s="84"/>
      <c r="QZH24" s="84"/>
      <c r="QZI24" s="84"/>
      <c r="QZJ24" s="84"/>
      <c r="QZK24" s="84"/>
      <c r="QZL24" s="84"/>
      <c r="QZM24" s="84"/>
      <c r="QZN24" s="84"/>
      <c r="QZO24" s="84"/>
      <c r="QZP24" s="84"/>
      <c r="QZQ24" s="84"/>
      <c r="QZR24" s="84"/>
      <c r="QZS24" s="84"/>
      <c r="QZT24" s="84"/>
      <c r="QZU24" s="84"/>
      <c r="QZV24" s="84"/>
      <c r="QZW24" s="84"/>
      <c r="QZX24" s="84"/>
      <c r="QZY24" s="84"/>
      <c r="QZZ24" s="84"/>
      <c r="RAA24" s="84"/>
      <c r="RAB24" s="84"/>
      <c r="RAC24" s="84"/>
      <c r="RAD24" s="84"/>
      <c r="RAE24" s="84"/>
      <c r="RAF24" s="84"/>
      <c r="RAG24" s="84"/>
      <c r="RAH24" s="84"/>
      <c r="RAI24" s="84"/>
      <c r="RAJ24" s="84"/>
      <c r="RAK24" s="84"/>
      <c r="RAL24" s="84"/>
      <c r="RAM24" s="84"/>
      <c r="RAN24" s="84"/>
      <c r="RAO24" s="84"/>
      <c r="RAP24" s="84"/>
      <c r="RAQ24" s="84"/>
      <c r="RAR24" s="84"/>
      <c r="RAS24" s="84"/>
      <c r="RAT24" s="84"/>
      <c r="RAU24" s="84"/>
      <c r="RAV24" s="84"/>
      <c r="RAW24" s="84"/>
      <c r="RAX24" s="84"/>
      <c r="RAY24" s="84"/>
      <c r="RAZ24" s="84"/>
      <c r="RBA24" s="84"/>
      <c r="RBB24" s="84"/>
      <c r="RBC24" s="84"/>
      <c r="RBD24" s="84"/>
      <c r="RBE24" s="84"/>
      <c r="RBF24" s="84"/>
      <c r="RBG24" s="84"/>
      <c r="RBH24" s="84"/>
      <c r="RBI24" s="84"/>
      <c r="RBJ24" s="84"/>
      <c r="RBK24" s="84"/>
      <c r="RBL24" s="84"/>
      <c r="RBM24" s="84"/>
      <c r="RBN24" s="84"/>
      <c r="RBO24" s="84"/>
      <c r="RBP24" s="84"/>
      <c r="RBQ24" s="84"/>
      <c r="RBR24" s="84"/>
      <c r="RBS24" s="84"/>
      <c r="RBT24" s="84"/>
      <c r="RBU24" s="84"/>
      <c r="RBV24" s="84"/>
      <c r="RBW24" s="84"/>
      <c r="RBX24" s="84"/>
      <c r="RBY24" s="84"/>
      <c r="RBZ24" s="84"/>
      <c r="RCA24" s="84"/>
      <c r="RCB24" s="84"/>
      <c r="RCC24" s="84"/>
      <c r="RCD24" s="84"/>
      <c r="RCE24" s="84"/>
      <c r="RCF24" s="84"/>
      <c r="RCG24" s="84"/>
      <c r="RCH24" s="84"/>
      <c r="RCI24" s="84"/>
      <c r="RCJ24" s="84"/>
      <c r="RCK24" s="84"/>
      <c r="RCL24" s="84"/>
      <c r="RCM24" s="84"/>
      <c r="RCN24" s="84"/>
      <c r="RCO24" s="84"/>
      <c r="RCP24" s="84"/>
      <c r="RCQ24" s="84"/>
      <c r="RCR24" s="84"/>
      <c r="RCS24" s="84"/>
      <c r="RCT24" s="84"/>
      <c r="RCU24" s="84"/>
      <c r="RCV24" s="84"/>
      <c r="RCW24" s="84"/>
      <c r="RCX24" s="84"/>
      <c r="RCY24" s="84"/>
      <c r="RCZ24" s="84"/>
      <c r="RDA24" s="84"/>
      <c r="RDB24" s="84"/>
      <c r="RDC24" s="84"/>
      <c r="RDD24" s="84"/>
      <c r="RDE24" s="84"/>
      <c r="RDF24" s="84"/>
      <c r="RDG24" s="84"/>
      <c r="RDH24" s="84"/>
      <c r="RDI24" s="84"/>
      <c r="RDJ24" s="84"/>
      <c r="RDK24" s="84"/>
      <c r="RDL24" s="84"/>
      <c r="RDM24" s="84"/>
      <c r="RDN24" s="84"/>
      <c r="RDO24" s="84"/>
      <c r="RDP24" s="84"/>
      <c r="RDQ24" s="84"/>
      <c r="RDR24" s="84"/>
      <c r="RDS24" s="84"/>
      <c r="RDT24" s="84"/>
      <c r="RDU24" s="84"/>
      <c r="RDV24" s="84"/>
      <c r="RDW24" s="84"/>
      <c r="RDX24" s="84"/>
      <c r="RDY24" s="84"/>
      <c r="RDZ24" s="84"/>
      <c r="REA24" s="84"/>
      <c r="REB24" s="84"/>
      <c r="REC24" s="84"/>
      <c r="RED24" s="84"/>
      <c r="REE24" s="84"/>
      <c r="REF24" s="84"/>
      <c r="REG24" s="84"/>
      <c r="REH24" s="84"/>
      <c r="REI24" s="84"/>
      <c r="REJ24" s="84"/>
      <c r="REK24" s="84"/>
      <c r="REL24" s="84"/>
      <c r="REM24" s="84"/>
      <c r="REN24" s="84"/>
      <c r="REO24" s="84"/>
      <c r="REP24" s="84"/>
      <c r="REQ24" s="84"/>
      <c r="RER24" s="84"/>
      <c r="RES24" s="84"/>
      <c r="RET24" s="84"/>
      <c r="REU24" s="84"/>
      <c r="REV24" s="84"/>
      <c r="REW24" s="84"/>
      <c r="REX24" s="84"/>
      <c r="REY24" s="84"/>
      <c r="REZ24" s="84"/>
      <c r="RFA24" s="84"/>
      <c r="RFB24" s="84"/>
      <c r="RFC24" s="84"/>
      <c r="RFD24" s="84"/>
      <c r="RFE24" s="84"/>
      <c r="RFF24" s="84"/>
      <c r="RFG24" s="84"/>
      <c r="RFH24" s="84"/>
      <c r="RFI24" s="84"/>
      <c r="RFJ24" s="84"/>
      <c r="RFK24" s="84"/>
      <c r="RFL24" s="84"/>
      <c r="RFM24" s="84"/>
      <c r="RFN24" s="84"/>
      <c r="RFO24" s="84"/>
      <c r="RFP24" s="84"/>
      <c r="RFQ24" s="84"/>
      <c r="RFR24" s="84"/>
      <c r="RFS24" s="84"/>
      <c r="RFT24" s="84"/>
      <c r="RFU24" s="84"/>
      <c r="RFV24" s="84"/>
      <c r="RFW24" s="84"/>
      <c r="RFX24" s="84"/>
      <c r="RFY24" s="84"/>
      <c r="RFZ24" s="84"/>
      <c r="RGA24" s="84"/>
      <c r="RGB24" s="84"/>
      <c r="RGC24" s="84"/>
      <c r="RGD24" s="84"/>
      <c r="RGE24" s="84"/>
      <c r="RGF24" s="84"/>
      <c r="RGG24" s="84"/>
      <c r="RGH24" s="84"/>
      <c r="RGI24" s="84"/>
      <c r="RGJ24" s="84"/>
      <c r="RGK24" s="84"/>
      <c r="RGL24" s="84"/>
      <c r="RGM24" s="84"/>
      <c r="RGN24" s="84"/>
      <c r="RGO24" s="84"/>
      <c r="RGP24" s="84"/>
      <c r="RGQ24" s="84"/>
      <c r="RGR24" s="84"/>
      <c r="RGS24" s="84"/>
      <c r="RGT24" s="84"/>
      <c r="RGU24" s="84"/>
      <c r="RGV24" s="84"/>
      <c r="RGW24" s="84"/>
      <c r="RGX24" s="84"/>
      <c r="RGY24" s="84"/>
      <c r="RGZ24" s="84"/>
      <c r="RHA24" s="84"/>
      <c r="RHB24" s="84"/>
      <c r="RHC24" s="84"/>
      <c r="RHD24" s="84"/>
      <c r="RHE24" s="84"/>
      <c r="RHF24" s="84"/>
      <c r="RHG24" s="84"/>
      <c r="RHH24" s="84"/>
      <c r="RHI24" s="84"/>
      <c r="RHJ24" s="84"/>
      <c r="RHK24" s="84"/>
      <c r="RHL24" s="84"/>
      <c r="RHM24" s="84"/>
      <c r="RHN24" s="84"/>
      <c r="RHO24" s="84"/>
      <c r="RHP24" s="84"/>
      <c r="RHQ24" s="84"/>
      <c r="RHR24" s="84"/>
      <c r="RHS24" s="84"/>
      <c r="RHT24" s="84"/>
      <c r="RHU24" s="84"/>
      <c r="RHV24" s="84"/>
      <c r="RHW24" s="84"/>
      <c r="RHX24" s="84"/>
      <c r="RHY24" s="84"/>
      <c r="RHZ24" s="84"/>
      <c r="RIA24" s="84"/>
      <c r="RIB24" s="84"/>
      <c r="RIC24" s="84"/>
      <c r="RID24" s="84"/>
      <c r="RIE24" s="84"/>
      <c r="RIF24" s="84"/>
      <c r="RIG24" s="84"/>
      <c r="RIH24" s="84"/>
      <c r="RII24" s="84"/>
      <c r="RIJ24" s="84"/>
      <c r="RIK24" s="84"/>
      <c r="RIL24" s="84"/>
      <c r="RIM24" s="84"/>
      <c r="RIN24" s="84"/>
      <c r="RIO24" s="84"/>
      <c r="RIP24" s="84"/>
      <c r="RIQ24" s="84"/>
      <c r="RIR24" s="84"/>
      <c r="RIS24" s="84"/>
      <c r="RIT24" s="84"/>
      <c r="RIU24" s="84"/>
      <c r="RIV24" s="84"/>
      <c r="RIW24" s="84"/>
      <c r="RIX24" s="84"/>
      <c r="RIY24" s="84"/>
      <c r="RIZ24" s="84"/>
      <c r="RJA24" s="84"/>
      <c r="RJB24" s="84"/>
      <c r="RJC24" s="84"/>
      <c r="RJD24" s="84"/>
      <c r="RJE24" s="84"/>
      <c r="RJF24" s="84"/>
      <c r="RJG24" s="84"/>
      <c r="RJH24" s="84"/>
      <c r="RJI24" s="84"/>
      <c r="RJJ24" s="84"/>
      <c r="RJK24" s="84"/>
      <c r="RJL24" s="84"/>
      <c r="RJM24" s="84"/>
      <c r="RJN24" s="84"/>
      <c r="RJO24" s="84"/>
      <c r="RJP24" s="84"/>
      <c r="RJQ24" s="84"/>
      <c r="RJR24" s="84"/>
      <c r="RJS24" s="84"/>
      <c r="RJT24" s="84"/>
      <c r="RJU24" s="84"/>
      <c r="RJV24" s="84"/>
      <c r="RJW24" s="84"/>
      <c r="RJX24" s="84"/>
      <c r="RJY24" s="84"/>
      <c r="RJZ24" s="84"/>
      <c r="RKA24" s="84"/>
      <c r="RKB24" s="84"/>
      <c r="RKC24" s="84"/>
      <c r="RKD24" s="84"/>
      <c r="RKE24" s="84"/>
      <c r="RKF24" s="84"/>
      <c r="RKG24" s="84"/>
      <c r="RKH24" s="84"/>
      <c r="RKI24" s="84"/>
      <c r="RKJ24" s="84"/>
      <c r="RKK24" s="84"/>
      <c r="RKL24" s="84"/>
      <c r="RKM24" s="84"/>
      <c r="RKN24" s="84"/>
      <c r="RKO24" s="84"/>
      <c r="RKP24" s="84"/>
      <c r="RKQ24" s="84"/>
      <c r="RKR24" s="84"/>
      <c r="RKS24" s="84"/>
      <c r="RKT24" s="84"/>
      <c r="RKU24" s="84"/>
      <c r="RKV24" s="84"/>
      <c r="RKW24" s="84"/>
      <c r="RKX24" s="84"/>
      <c r="RKY24" s="84"/>
      <c r="RKZ24" s="84"/>
      <c r="RLA24" s="84"/>
      <c r="RLB24" s="84"/>
      <c r="RLC24" s="84"/>
      <c r="RLD24" s="84"/>
      <c r="RLE24" s="84"/>
      <c r="RLF24" s="84"/>
      <c r="RLG24" s="84"/>
      <c r="RLH24" s="84"/>
      <c r="RLI24" s="84"/>
      <c r="RLJ24" s="84"/>
      <c r="RLK24" s="84"/>
      <c r="RLL24" s="84"/>
      <c r="RLM24" s="84"/>
      <c r="RLN24" s="84"/>
      <c r="RLO24" s="84"/>
      <c r="RLP24" s="84"/>
      <c r="RLQ24" s="84"/>
      <c r="RLR24" s="84"/>
      <c r="RLS24" s="84"/>
      <c r="RLT24" s="84"/>
      <c r="RLU24" s="84"/>
      <c r="RLV24" s="84"/>
      <c r="RLW24" s="84"/>
      <c r="RLX24" s="84"/>
      <c r="RLY24" s="84"/>
      <c r="RLZ24" s="84"/>
      <c r="RMA24" s="84"/>
      <c r="RMB24" s="84"/>
      <c r="RMC24" s="84"/>
      <c r="RMD24" s="84"/>
      <c r="RME24" s="84"/>
      <c r="RMF24" s="84"/>
      <c r="RMG24" s="84"/>
      <c r="RMH24" s="84"/>
      <c r="RMI24" s="84"/>
      <c r="RMJ24" s="84"/>
      <c r="RMK24" s="84"/>
      <c r="RML24" s="84"/>
      <c r="RMM24" s="84"/>
      <c r="RMN24" s="84"/>
      <c r="RMO24" s="84"/>
      <c r="RMP24" s="84"/>
      <c r="RMQ24" s="84"/>
      <c r="RMR24" s="84"/>
      <c r="RMS24" s="84"/>
      <c r="RMT24" s="84"/>
      <c r="RMU24" s="84"/>
      <c r="RMV24" s="84"/>
      <c r="RMW24" s="84"/>
      <c r="RMX24" s="84"/>
      <c r="RMY24" s="84"/>
      <c r="RMZ24" s="84"/>
      <c r="RNA24" s="84"/>
      <c r="RNB24" s="84"/>
      <c r="RNC24" s="84"/>
      <c r="RND24" s="84"/>
      <c r="RNE24" s="84"/>
      <c r="RNF24" s="84"/>
      <c r="RNG24" s="84"/>
      <c r="RNH24" s="84"/>
      <c r="RNI24" s="84"/>
      <c r="RNJ24" s="84"/>
      <c r="RNK24" s="84"/>
      <c r="RNL24" s="84"/>
      <c r="RNM24" s="84"/>
      <c r="RNN24" s="84"/>
      <c r="RNO24" s="84"/>
      <c r="RNP24" s="84"/>
      <c r="RNQ24" s="84"/>
      <c r="RNR24" s="84"/>
      <c r="RNS24" s="84"/>
      <c r="RNT24" s="84"/>
      <c r="RNU24" s="84"/>
      <c r="RNV24" s="84"/>
      <c r="RNW24" s="84"/>
      <c r="RNX24" s="84"/>
      <c r="RNY24" s="84"/>
      <c r="RNZ24" s="84"/>
      <c r="ROA24" s="84"/>
      <c r="ROB24" s="84"/>
      <c r="ROC24" s="84"/>
      <c r="ROD24" s="84"/>
      <c r="ROE24" s="84"/>
      <c r="ROF24" s="84"/>
      <c r="ROG24" s="84"/>
      <c r="ROH24" s="84"/>
      <c r="ROI24" s="84"/>
      <c r="ROJ24" s="84"/>
      <c r="ROK24" s="84"/>
      <c r="ROL24" s="84"/>
      <c r="ROM24" s="84"/>
      <c r="RON24" s="84"/>
      <c r="ROO24" s="84"/>
      <c r="ROP24" s="84"/>
      <c r="ROQ24" s="84"/>
      <c r="ROR24" s="84"/>
      <c r="ROS24" s="84"/>
      <c r="ROT24" s="84"/>
      <c r="ROU24" s="84"/>
      <c r="ROV24" s="84"/>
      <c r="ROW24" s="84"/>
      <c r="ROX24" s="84"/>
      <c r="ROY24" s="84"/>
      <c r="ROZ24" s="84"/>
      <c r="RPA24" s="84"/>
      <c r="RPB24" s="84"/>
      <c r="RPC24" s="84"/>
      <c r="RPD24" s="84"/>
      <c r="RPE24" s="84"/>
      <c r="RPF24" s="84"/>
      <c r="RPG24" s="84"/>
      <c r="RPH24" s="84"/>
      <c r="RPI24" s="84"/>
      <c r="RPJ24" s="84"/>
      <c r="RPK24" s="84"/>
      <c r="RPL24" s="84"/>
      <c r="RPM24" s="84"/>
      <c r="RPN24" s="84"/>
      <c r="RPO24" s="84"/>
      <c r="RPP24" s="84"/>
      <c r="RPQ24" s="84"/>
      <c r="RPR24" s="84"/>
      <c r="RPS24" s="84"/>
      <c r="RPT24" s="84"/>
      <c r="RPU24" s="84"/>
      <c r="RPV24" s="84"/>
      <c r="RPW24" s="84"/>
      <c r="RPX24" s="84"/>
      <c r="RPY24" s="84"/>
      <c r="RPZ24" s="84"/>
      <c r="RQA24" s="84"/>
      <c r="RQB24" s="84"/>
      <c r="RQC24" s="84"/>
      <c r="RQD24" s="84"/>
      <c r="RQE24" s="84"/>
      <c r="RQF24" s="84"/>
      <c r="RQG24" s="84"/>
      <c r="RQH24" s="84"/>
      <c r="RQI24" s="84"/>
      <c r="RQJ24" s="84"/>
      <c r="RQK24" s="84"/>
      <c r="RQL24" s="84"/>
      <c r="RQM24" s="84"/>
      <c r="RQN24" s="84"/>
      <c r="RQO24" s="84"/>
      <c r="RQP24" s="84"/>
      <c r="RQQ24" s="84"/>
      <c r="RQR24" s="84"/>
      <c r="RQS24" s="84"/>
      <c r="RQT24" s="84"/>
      <c r="RQU24" s="84"/>
      <c r="RQV24" s="84"/>
      <c r="RQW24" s="84"/>
      <c r="RQX24" s="84"/>
      <c r="RQY24" s="84"/>
      <c r="RQZ24" s="84"/>
      <c r="RRA24" s="84"/>
      <c r="RRB24" s="84"/>
      <c r="RRC24" s="84"/>
      <c r="RRD24" s="84"/>
      <c r="RRE24" s="84"/>
      <c r="RRF24" s="84"/>
      <c r="RRG24" s="84"/>
      <c r="RRH24" s="84"/>
      <c r="RRI24" s="84"/>
      <c r="RRJ24" s="84"/>
      <c r="RRK24" s="84"/>
      <c r="RRL24" s="84"/>
      <c r="RRM24" s="84"/>
      <c r="RRN24" s="84"/>
      <c r="RRO24" s="84"/>
      <c r="RRP24" s="84"/>
      <c r="RRQ24" s="84"/>
      <c r="RRR24" s="84"/>
      <c r="RRS24" s="84"/>
      <c r="RRT24" s="84"/>
      <c r="RRU24" s="84"/>
      <c r="RRV24" s="84"/>
      <c r="RRW24" s="84"/>
      <c r="RRX24" s="84"/>
      <c r="RRY24" s="84"/>
      <c r="RRZ24" s="84"/>
      <c r="RSA24" s="84"/>
      <c r="RSB24" s="84"/>
      <c r="RSC24" s="84"/>
      <c r="RSD24" s="84"/>
      <c r="RSE24" s="84"/>
      <c r="RSF24" s="84"/>
      <c r="RSG24" s="84"/>
      <c r="RSH24" s="84"/>
      <c r="RSI24" s="84"/>
      <c r="RSJ24" s="84"/>
      <c r="RSK24" s="84"/>
      <c r="RSL24" s="84"/>
      <c r="RSM24" s="84"/>
      <c r="RSN24" s="84"/>
      <c r="RSO24" s="84"/>
      <c r="RSP24" s="84"/>
      <c r="RSQ24" s="84"/>
      <c r="RSR24" s="84"/>
      <c r="RSS24" s="84"/>
      <c r="RST24" s="84"/>
      <c r="RSU24" s="84"/>
      <c r="RSV24" s="84"/>
      <c r="RSW24" s="84"/>
      <c r="RSX24" s="84"/>
      <c r="RSY24" s="84"/>
      <c r="RSZ24" s="84"/>
      <c r="RTA24" s="84"/>
      <c r="RTB24" s="84"/>
      <c r="RTC24" s="84"/>
      <c r="RTD24" s="84"/>
      <c r="RTE24" s="84"/>
      <c r="RTF24" s="84"/>
      <c r="RTG24" s="84"/>
      <c r="RTH24" s="84"/>
      <c r="RTI24" s="84"/>
      <c r="RTJ24" s="84"/>
      <c r="RTK24" s="84"/>
      <c r="RTL24" s="84"/>
      <c r="RTM24" s="84"/>
      <c r="RTN24" s="84"/>
      <c r="RTO24" s="84"/>
      <c r="RTP24" s="84"/>
      <c r="RTQ24" s="84"/>
      <c r="RTR24" s="84"/>
      <c r="RTS24" s="84"/>
      <c r="RTT24" s="84"/>
      <c r="RTU24" s="84"/>
      <c r="RTV24" s="84"/>
      <c r="RTW24" s="84"/>
      <c r="RTX24" s="84"/>
      <c r="RTY24" s="84"/>
      <c r="RTZ24" s="84"/>
      <c r="RUA24" s="84"/>
      <c r="RUB24" s="84"/>
      <c r="RUC24" s="84"/>
      <c r="RUD24" s="84"/>
      <c r="RUE24" s="84"/>
      <c r="RUF24" s="84"/>
      <c r="RUG24" s="84"/>
      <c r="RUH24" s="84"/>
      <c r="RUI24" s="84"/>
      <c r="RUJ24" s="84"/>
      <c r="RUK24" s="84"/>
      <c r="RUL24" s="84"/>
      <c r="RUM24" s="84"/>
      <c r="RUN24" s="84"/>
      <c r="RUO24" s="84"/>
      <c r="RUP24" s="84"/>
      <c r="RUQ24" s="84"/>
      <c r="RUR24" s="84"/>
      <c r="RUS24" s="84"/>
      <c r="RUT24" s="84"/>
      <c r="RUU24" s="84"/>
      <c r="RUV24" s="84"/>
      <c r="RUW24" s="84"/>
      <c r="RUX24" s="84"/>
      <c r="RUY24" s="84"/>
      <c r="RUZ24" s="84"/>
      <c r="RVA24" s="84"/>
      <c r="RVB24" s="84"/>
      <c r="RVC24" s="84"/>
      <c r="RVD24" s="84"/>
      <c r="RVE24" s="84"/>
      <c r="RVF24" s="84"/>
      <c r="RVG24" s="84"/>
      <c r="RVH24" s="84"/>
      <c r="RVI24" s="84"/>
      <c r="RVJ24" s="84"/>
      <c r="RVK24" s="84"/>
      <c r="RVL24" s="84"/>
      <c r="RVM24" s="84"/>
      <c r="RVN24" s="84"/>
      <c r="RVO24" s="84"/>
      <c r="RVP24" s="84"/>
      <c r="RVQ24" s="84"/>
      <c r="RVR24" s="84"/>
      <c r="RVS24" s="84"/>
      <c r="RVT24" s="84"/>
      <c r="RVU24" s="84"/>
      <c r="RVV24" s="84"/>
      <c r="RVW24" s="84"/>
      <c r="RVX24" s="84"/>
      <c r="RVY24" s="84"/>
      <c r="RVZ24" s="84"/>
      <c r="RWA24" s="84"/>
      <c r="RWB24" s="84"/>
      <c r="RWC24" s="84"/>
      <c r="RWD24" s="84"/>
      <c r="RWE24" s="84"/>
      <c r="RWF24" s="84"/>
      <c r="RWG24" s="84"/>
      <c r="RWH24" s="84"/>
      <c r="RWI24" s="84"/>
      <c r="RWJ24" s="84"/>
      <c r="RWK24" s="84"/>
      <c r="RWL24" s="84"/>
      <c r="RWM24" s="84"/>
      <c r="RWN24" s="84"/>
      <c r="RWO24" s="84"/>
      <c r="RWP24" s="84"/>
      <c r="RWQ24" s="84"/>
      <c r="RWR24" s="84"/>
      <c r="RWS24" s="84"/>
      <c r="RWT24" s="84"/>
      <c r="RWU24" s="84"/>
      <c r="RWV24" s="84"/>
      <c r="RWW24" s="84"/>
      <c r="RWX24" s="84"/>
      <c r="RWY24" s="84"/>
      <c r="RWZ24" s="84"/>
      <c r="RXA24" s="84"/>
      <c r="RXB24" s="84"/>
      <c r="RXC24" s="84"/>
      <c r="RXD24" s="84"/>
      <c r="RXE24" s="84"/>
      <c r="RXF24" s="84"/>
      <c r="RXG24" s="84"/>
      <c r="RXH24" s="84"/>
      <c r="RXI24" s="84"/>
      <c r="RXJ24" s="84"/>
      <c r="RXK24" s="84"/>
      <c r="RXL24" s="84"/>
      <c r="RXM24" s="84"/>
      <c r="RXN24" s="84"/>
      <c r="RXO24" s="84"/>
      <c r="RXP24" s="84"/>
      <c r="RXQ24" s="84"/>
      <c r="RXR24" s="84"/>
      <c r="RXS24" s="84"/>
      <c r="RXT24" s="84"/>
      <c r="RXU24" s="84"/>
      <c r="RXV24" s="84"/>
      <c r="RXW24" s="84"/>
      <c r="RXX24" s="84"/>
      <c r="RXY24" s="84"/>
      <c r="RXZ24" s="84"/>
      <c r="RYA24" s="84"/>
      <c r="RYB24" s="84"/>
      <c r="RYC24" s="84"/>
      <c r="RYD24" s="84"/>
      <c r="RYE24" s="84"/>
      <c r="RYF24" s="84"/>
      <c r="RYG24" s="84"/>
      <c r="RYH24" s="84"/>
      <c r="RYI24" s="84"/>
      <c r="RYJ24" s="84"/>
      <c r="RYK24" s="84"/>
      <c r="RYL24" s="84"/>
      <c r="RYM24" s="84"/>
      <c r="RYN24" s="84"/>
      <c r="RYO24" s="84"/>
      <c r="RYP24" s="84"/>
      <c r="RYQ24" s="84"/>
      <c r="RYR24" s="84"/>
      <c r="RYS24" s="84"/>
      <c r="RYT24" s="84"/>
      <c r="RYU24" s="84"/>
      <c r="RYV24" s="84"/>
      <c r="RYW24" s="84"/>
      <c r="RYX24" s="84"/>
      <c r="RYY24" s="84"/>
      <c r="RYZ24" s="84"/>
      <c r="RZA24" s="84"/>
      <c r="RZB24" s="84"/>
      <c r="RZC24" s="84"/>
      <c r="RZD24" s="84"/>
      <c r="RZE24" s="84"/>
      <c r="RZF24" s="84"/>
      <c r="RZG24" s="84"/>
      <c r="RZH24" s="84"/>
      <c r="RZI24" s="84"/>
      <c r="RZJ24" s="84"/>
      <c r="RZK24" s="84"/>
      <c r="RZL24" s="84"/>
      <c r="RZM24" s="84"/>
      <c r="RZN24" s="84"/>
      <c r="RZO24" s="84"/>
      <c r="RZP24" s="84"/>
      <c r="RZQ24" s="84"/>
      <c r="RZR24" s="84"/>
      <c r="RZS24" s="84"/>
      <c r="RZT24" s="84"/>
      <c r="RZU24" s="84"/>
      <c r="RZV24" s="84"/>
      <c r="RZW24" s="84"/>
      <c r="RZX24" s="84"/>
      <c r="RZY24" s="84"/>
      <c r="RZZ24" s="84"/>
      <c r="SAA24" s="84"/>
      <c r="SAB24" s="84"/>
      <c r="SAC24" s="84"/>
      <c r="SAD24" s="84"/>
      <c r="SAE24" s="84"/>
      <c r="SAF24" s="84"/>
      <c r="SAG24" s="84"/>
      <c r="SAH24" s="84"/>
      <c r="SAI24" s="84"/>
      <c r="SAJ24" s="84"/>
      <c r="SAK24" s="84"/>
      <c r="SAL24" s="84"/>
      <c r="SAM24" s="84"/>
      <c r="SAN24" s="84"/>
      <c r="SAO24" s="84"/>
      <c r="SAP24" s="84"/>
      <c r="SAQ24" s="84"/>
      <c r="SAR24" s="84"/>
      <c r="SAS24" s="84"/>
      <c r="SAT24" s="84"/>
      <c r="SAU24" s="84"/>
      <c r="SAV24" s="84"/>
      <c r="SAW24" s="84"/>
      <c r="SAX24" s="84"/>
      <c r="SAY24" s="84"/>
      <c r="SAZ24" s="84"/>
      <c r="SBA24" s="84"/>
      <c r="SBB24" s="84"/>
      <c r="SBC24" s="84"/>
      <c r="SBD24" s="84"/>
      <c r="SBE24" s="84"/>
      <c r="SBF24" s="84"/>
      <c r="SBG24" s="84"/>
      <c r="SBH24" s="84"/>
      <c r="SBI24" s="84"/>
      <c r="SBJ24" s="84"/>
      <c r="SBK24" s="84"/>
      <c r="SBL24" s="84"/>
      <c r="SBM24" s="84"/>
      <c r="SBN24" s="84"/>
      <c r="SBO24" s="84"/>
      <c r="SBP24" s="84"/>
      <c r="SBQ24" s="84"/>
      <c r="SBR24" s="84"/>
      <c r="SBS24" s="84"/>
      <c r="SBT24" s="84"/>
      <c r="SBU24" s="84"/>
      <c r="SBV24" s="84"/>
      <c r="SBW24" s="84"/>
      <c r="SBX24" s="84"/>
      <c r="SBY24" s="84"/>
      <c r="SBZ24" s="84"/>
      <c r="SCA24" s="84"/>
      <c r="SCB24" s="84"/>
      <c r="SCC24" s="84"/>
      <c r="SCD24" s="84"/>
      <c r="SCE24" s="84"/>
      <c r="SCF24" s="84"/>
      <c r="SCG24" s="84"/>
      <c r="SCH24" s="84"/>
      <c r="SCI24" s="84"/>
      <c r="SCJ24" s="84"/>
      <c r="SCK24" s="84"/>
      <c r="SCL24" s="84"/>
      <c r="SCM24" s="84"/>
      <c r="SCN24" s="84"/>
      <c r="SCO24" s="84"/>
      <c r="SCP24" s="84"/>
      <c r="SCQ24" s="84"/>
      <c r="SCR24" s="84"/>
      <c r="SCS24" s="84"/>
      <c r="SCT24" s="84"/>
      <c r="SCU24" s="84"/>
      <c r="SCV24" s="84"/>
      <c r="SCW24" s="84"/>
      <c r="SCX24" s="84"/>
      <c r="SCY24" s="84"/>
      <c r="SCZ24" s="84"/>
      <c r="SDA24" s="84"/>
      <c r="SDB24" s="84"/>
      <c r="SDC24" s="84"/>
      <c r="SDD24" s="84"/>
      <c r="SDE24" s="84"/>
      <c r="SDF24" s="84"/>
      <c r="SDG24" s="84"/>
      <c r="SDH24" s="84"/>
      <c r="SDI24" s="84"/>
      <c r="SDJ24" s="84"/>
      <c r="SDK24" s="84"/>
      <c r="SDL24" s="84"/>
      <c r="SDM24" s="84"/>
      <c r="SDN24" s="84"/>
      <c r="SDO24" s="84"/>
      <c r="SDP24" s="84"/>
      <c r="SDQ24" s="84"/>
      <c r="SDR24" s="84"/>
      <c r="SDS24" s="84"/>
      <c r="SDT24" s="84"/>
      <c r="SDU24" s="84"/>
      <c r="SDV24" s="84"/>
      <c r="SDW24" s="84"/>
      <c r="SDX24" s="84"/>
      <c r="SDY24" s="84"/>
      <c r="SDZ24" s="84"/>
      <c r="SEA24" s="84"/>
      <c r="SEB24" s="84"/>
      <c r="SEC24" s="84"/>
      <c r="SED24" s="84"/>
      <c r="SEE24" s="84"/>
      <c r="SEF24" s="84"/>
      <c r="SEG24" s="84"/>
      <c r="SEH24" s="84"/>
      <c r="SEI24" s="84"/>
      <c r="SEJ24" s="84"/>
      <c r="SEK24" s="84"/>
      <c r="SEL24" s="84"/>
      <c r="SEM24" s="84"/>
      <c r="SEN24" s="84"/>
      <c r="SEO24" s="84"/>
      <c r="SEP24" s="84"/>
      <c r="SEQ24" s="84"/>
      <c r="SER24" s="84"/>
      <c r="SES24" s="84"/>
      <c r="SET24" s="84"/>
      <c r="SEU24" s="84"/>
      <c r="SEV24" s="84"/>
      <c r="SEW24" s="84"/>
      <c r="SEX24" s="84"/>
      <c r="SEY24" s="84"/>
      <c r="SEZ24" s="84"/>
      <c r="SFA24" s="84"/>
      <c r="SFB24" s="84"/>
      <c r="SFC24" s="84"/>
      <c r="SFD24" s="84"/>
      <c r="SFE24" s="84"/>
      <c r="SFF24" s="84"/>
      <c r="SFG24" s="84"/>
      <c r="SFH24" s="84"/>
      <c r="SFI24" s="84"/>
      <c r="SFJ24" s="84"/>
      <c r="SFK24" s="84"/>
      <c r="SFL24" s="84"/>
      <c r="SFM24" s="84"/>
      <c r="SFN24" s="84"/>
      <c r="SFO24" s="84"/>
      <c r="SFP24" s="84"/>
      <c r="SFQ24" s="84"/>
      <c r="SFR24" s="84"/>
      <c r="SFS24" s="84"/>
      <c r="SFT24" s="84"/>
      <c r="SFU24" s="84"/>
      <c r="SFV24" s="84"/>
      <c r="SFW24" s="84"/>
      <c r="SFX24" s="84"/>
      <c r="SFY24" s="84"/>
      <c r="SFZ24" s="84"/>
      <c r="SGA24" s="84"/>
      <c r="SGB24" s="84"/>
      <c r="SGC24" s="84"/>
      <c r="SGD24" s="84"/>
      <c r="SGE24" s="84"/>
      <c r="SGF24" s="84"/>
      <c r="SGG24" s="84"/>
      <c r="SGH24" s="84"/>
      <c r="SGI24" s="84"/>
      <c r="SGJ24" s="84"/>
      <c r="SGK24" s="84"/>
      <c r="SGL24" s="84"/>
      <c r="SGM24" s="84"/>
      <c r="SGN24" s="84"/>
      <c r="SGO24" s="84"/>
      <c r="SGP24" s="84"/>
      <c r="SGQ24" s="84"/>
      <c r="SGR24" s="84"/>
      <c r="SGS24" s="84"/>
      <c r="SGT24" s="84"/>
      <c r="SGU24" s="84"/>
      <c r="SGV24" s="84"/>
      <c r="SGW24" s="84"/>
      <c r="SGX24" s="84"/>
      <c r="SGY24" s="84"/>
      <c r="SGZ24" s="84"/>
      <c r="SHA24" s="84"/>
      <c r="SHB24" s="84"/>
      <c r="SHC24" s="84"/>
      <c r="SHD24" s="84"/>
      <c r="SHE24" s="84"/>
      <c r="SHF24" s="84"/>
      <c r="SHG24" s="84"/>
      <c r="SHH24" s="84"/>
      <c r="SHI24" s="84"/>
      <c r="SHJ24" s="84"/>
      <c r="SHK24" s="84"/>
      <c r="SHL24" s="84"/>
      <c r="SHM24" s="84"/>
      <c r="SHN24" s="84"/>
      <c r="SHO24" s="84"/>
      <c r="SHP24" s="84"/>
      <c r="SHQ24" s="84"/>
      <c r="SHR24" s="84"/>
      <c r="SHS24" s="84"/>
      <c r="SHT24" s="84"/>
      <c r="SHU24" s="84"/>
      <c r="SHV24" s="84"/>
      <c r="SHW24" s="84"/>
      <c r="SHX24" s="84"/>
      <c r="SHY24" s="84"/>
      <c r="SHZ24" s="84"/>
      <c r="SIA24" s="84"/>
      <c r="SIB24" s="84"/>
      <c r="SIC24" s="84"/>
      <c r="SID24" s="84"/>
      <c r="SIE24" s="84"/>
      <c r="SIF24" s="84"/>
      <c r="SIG24" s="84"/>
      <c r="SIH24" s="84"/>
      <c r="SII24" s="84"/>
      <c r="SIJ24" s="84"/>
      <c r="SIK24" s="84"/>
      <c r="SIL24" s="84"/>
      <c r="SIM24" s="84"/>
      <c r="SIN24" s="84"/>
      <c r="SIO24" s="84"/>
      <c r="SIP24" s="84"/>
      <c r="SIQ24" s="84"/>
      <c r="SIR24" s="84"/>
      <c r="SIS24" s="84"/>
      <c r="SIT24" s="84"/>
      <c r="SIU24" s="84"/>
      <c r="SIV24" s="84"/>
      <c r="SIW24" s="84"/>
      <c r="SIX24" s="84"/>
      <c r="SIY24" s="84"/>
      <c r="SIZ24" s="84"/>
      <c r="SJA24" s="84"/>
      <c r="SJB24" s="84"/>
      <c r="SJC24" s="84"/>
      <c r="SJD24" s="84"/>
      <c r="SJE24" s="84"/>
      <c r="SJF24" s="84"/>
      <c r="SJG24" s="84"/>
      <c r="SJH24" s="84"/>
      <c r="SJI24" s="84"/>
      <c r="SJJ24" s="84"/>
      <c r="SJK24" s="84"/>
      <c r="SJL24" s="84"/>
      <c r="SJM24" s="84"/>
      <c r="SJN24" s="84"/>
      <c r="SJO24" s="84"/>
      <c r="SJP24" s="84"/>
      <c r="SJQ24" s="84"/>
      <c r="SJR24" s="84"/>
      <c r="SJS24" s="84"/>
      <c r="SJT24" s="84"/>
      <c r="SJU24" s="84"/>
      <c r="SJV24" s="84"/>
      <c r="SJW24" s="84"/>
      <c r="SJX24" s="84"/>
      <c r="SJY24" s="84"/>
      <c r="SJZ24" s="84"/>
      <c r="SKA24" s="84"/>
      <c r="SKB24" s="84"/>
      <c r="SKC24" s="84"/>
      <c r="SKD24" s="84"/>
      <c r="SKE24" s="84"/>
      <c r="SKF24" s="84"/>
      <c r="SKG24" s="84"/>
      <c r="SKH24" s="84"/>
      <c r="SKI24" s="84"/>
      <c r="SKJ24" s="84"/>
      <c r="SKK24" s="84"/>
      <c r="SKL24" s="84"/>
      <c r="SKM24" s="84"/>
      <c r="SKN24" s="84"/>
      <c r="SKO24" s="84"/>
      <c r="SKP24" s="84"/>
      <c r="SKQ24" s="84"/>
      <c r="SKR24" s="84"/>
      <c r="SKS24" s="84"/>
      <c r="SKT24" s="84"/>
      <c r="SKU24" s="84"/>
      <c r="SKV24" s="84"/>
      <c r="SKW24" s="84"/>
      <c r="SKX24" s="84"/>
      <c r="SKY24" s="84"/>
      <c r="SKZ24" s="84"/>
      <c r="SLA24" s="84"/>
      <c r="SLB24" s="84"/>
      <c r="SLC24" s="84"/>
      <c r="SLD24" s="84"/>
      <c r="SLE24" s="84"/>
      <c r="SLF24" s="84"/>
      <c r="SLG24" s="84"/>
      <c r="SLH24" s="84"/>
      <c r="SLI24" s="84"/>
      <c r="SLJ24" s="84"/>
      <c r="SLK24" s="84"/>
      <c r="SLL24" s="84"/>
      <c r="SLM24" s="84"/>
      <c r="SLN24" s="84"/>
      <c r="SLO24" s="84"/>
      <c r="SLP24" s="84"/>
      <c r="SLQ24" s="84"/>
      <c r="SLR24" s="84"/>
      <c r="SLS24" s="84"/>
      <c r="SLT24" s="84"/>
      <c r="SLU24" s="84"/>
      <c r="SLV24" s="84"/>
      <c r="SLW24" s="84"/>
      <c r="SLX24" s="84"/>
      <c r="SLY24" s="84"/>
      <c r="SLZ24" s="84"/>
      <c r="SMA24" s="84"/>
      <c r="SMB24" s="84"/>
      <c r="SMC24" s="84"/>
      <c r="SMD24" s="84"/>
      <c r="SME24" s="84"/>
      <c r="SMF24" s="84"/>
      <c r="SMG24" s="84"/>
      <c r="SMH24" s="84"/>
      <c r="SMI24" s="84"/>
      <c r="SMJ24" s="84"/>
      <c r="SMK24" s="84"/>
      <c r="SML24" s="84"/>
      <c r="SMM24" s="84"/>
      <c r="SMN24" s="84"/>
      <c r="SMO24" s="84"/>
      <c r="SMP24" s="84"/>
      <c r="SMQ24" s="84"/>
      <c r="SMR24" s="84"/>
      <c r="SMS24" s="84"/>
      <c r="SMT24" s="84"/>
      <c r="SMU24" s="84"/>
      <c r="SMV24" s="84"/>
      <c r="SMW24" s="84"/>
      <c r="SMX24" s="84"/>
      <c r="SMY24" s="84"/>
      <c r="SMZ24" s="84"/>
      <c r="SNA24" s="84"/>
      <c r="SNB24" s="84"/>
      <c r="SNC24" s="84"/>
      <c r="SND24" s="84"/>
      <c r="SNE24" s="84"/>
      <c r="SNF24" s="84"/>
      <c r="SNG24" s="84"/>
      <c r="SNH24" s="84"/>
      <c r="SNI24" s="84"/>
      <c r="SNJ24" s="84"/>
      <c r="SNK24" s="84"/>
      <c r="SNL24" s="84"/>
      <c r="SNM24" s="84"/>
      <c r="SNN24" s="84"/>
      <c r="SNO24" s="84"/>
      <c r="SNP24" s="84"/>
      <c r="SNQ24" s="84"/>
      <c r="SNR24" s="84"/>
      <c r="SNS24" s="84"/>
      <c r="SNT24" s="84"/>
      <c r="SNU24" s="84"/>
      <c r="SNV24" s="84"/>
      <c r="SNW24" s="84"/>
      <c r="SNX24" s="84"/>
      <c r="SNY24" s="84"/>
      <c r="SNZ24" s="84"/>
      <c r="SOA24" s="84"/>
      <c r="SOB24" s="84"/>
      <c r="SOC24" s="84"/>
      <c r="SOD24" s="84"/>
      <c r="SOE24" s="84"/>
      <c r="SOF24" s="84"/>
      <c r="SOG24" s="84"/>
      <c r="SOH24" s="84"/>
      <c r="SOI24" s="84"/>
      <c r="SOJ24" s="84"/>
      <c r="SOK24" s="84"/>
      <c r="SOL24" s="84"/>
      <c r="SOM24" s="84"/>
      <c r="SON24" s="84"/>
      <c r="SOO24" s="84"/>
      <c r="SOP24" s="84"/>
      <c r="SOQ24" s="84"/>
      <c r="SOR24" s="84"/>
      <c r="SOS24" s="84"/>
      <c r="SOT24" s="84"/>
      <c r="SOU24" s="84"/>
      <c r="SOV24" s="84"/>
      <c r="SOW24" s="84"/>
      <c r="SOX24" s="84"/>
      <c r="SOY24" s="84"/>
      <c r="SOZ24" s="84"/>
      <c r="SPA24" s="84"/>
      <c r="SPB24" s="84"/>
      <c r="SPC24" s="84"/>
      <c r="SPD24" s="84"/>
      <c r="SPE24" s="84"/>
      <c r="SPF24" s="84"/>
      <c r="SPG24" s="84"/>
      <c r="SPH24" s="84"/>
      <c r="SPI24" s="84"/>
      <c r="SPJ24" s="84"/>
      <c r="SPK24" s="84"/>
      <c r="SPL24" s="84"/>
      <c r="SPM24" s="84"/>
      <c r="SPN24" s="84"/>
      <c r="SPO24" s="84"/>
      <c r="SPP24" s="84"/>
      <c r="SPQ24" s="84"/>
      <c r="SPR24" s="84"/>
      <c r="SPS24" s="84"/>
      <c r="SPT24" s="84"/>
      <c r="SPU24" s="84"/>
      <c r="SPV24" s="84"/>
      <c r="SPW24" s="84"/>
      <c r="SPX24" s="84"/>
      <c r="SPY24" s="84"/>
      <c r="SPZ24" s="84"/>
      <c r="SQA24" s="84"/>
      <c r="SQB24" s="84"/>
      <c r="SQC24" s="84"/>
      <c r="SQD24" s="84"/>
      <c r="SQE24" s="84"/>
      <c r="SQF24" s="84"/>
      <c r="SQG24" s="84"/>
      <c r="SQH24" s="84"/>
      <c r="SQI24" s="84"/>
      <c r="SQJ24" s="84"/>
      <c r="SQK24" s="84"/>
      <c r="SQL24" s="84"/>
      <c r="SQM24" s="84"/>
      <c r="SQN24" s="84"/>
      <c r="SQO24" s="84"/>
      <c r="SQP24" s="84"/>
      <c r="SQQ24" s="84"/>
      <c r="SQR24" s="84"/>
      <c r="SQS24" s="84"/>
      <c r="SQT24" s="84"/>
      <c r="SQU24" s="84"/>
      <c r="SQV24" s="84"/>
      <c r="SQW24" s="84"/>
      <c r="SQX24" s="84"/>
      <c r="SQY24" s="84"/>
      <c r="SQZ24" s="84"/>
      <c r="SRA24" s="84"/>
      <c r="SRB24" s="84"/>
      <c r="SRC24" s="84"/>
      <c r="SRD24" s="84"/>
      <c r="SRE24" s="84"/>
      <c r="SRF24" s="84"/>
      <c r="SRG24" s="84"/>
      <c r="SRH24" s="84"/>
      <c r="SRI24" s="84"/>
      <c r="SRJ24" s="84"/>
      <c r="SRK24" s="84"/>
      <c r="SRL24" s="84"/>
      <c r="SRM24" s="84"/>
      <c r="SRN24" s="84"/>
      <c r="SRO24" s="84"/>
      <c r="SRP24" s="84"/>
      <c r="SRQ24" s="84"/>
      <c r="SRR24" s="84"/>
      <c r="SRS24" s="84"/>
      <c r="SRT24" s="84"/>
      <c r="SRU24" s="84"/>
      <c r="SRV24" s="84"/>
      <c r="SRW24" s="84"/>
      <c r="SRX24" s="84"/>
      <c r="SRY24" s="84"/>
      <c r="SRZ24" s="84"/>
      <c r="SSA24" s="84"/>
      <c r="SSB24" s="84"/>
      <c r="SSC24" s="84"/>
      <c r="SSD24" s="84"/>
      <c r="SSE24" s="84"/>
      <c r="SSF24" s="84"/>
      <c r="SSG24" s="84"/>
      <c r="SSH24" s="84"/>
      <c r="SSI24" s="84"/>
      <c r="SSJ24" s="84"/>
      <c r="SSK24" s="84"/>
      <c r="SSL24" s="84"/>
      <c r="SSM24" s="84"/>
      <c r="SSN24" s="84"/>
      <c r="SSO24" s="84"/>
      <c r="SSP24" s="84"/>
      <c r="SSQ24" s="84"/>
      <c r="SSR24" s="84"/>
      <c r="SSS24" s="84"/>
      <c r="SST24" s="84"/>
      <c r="SSU24" s="84"/>
      <c r="SSV24" s="84"/>
      <c r="SSW24" s="84"/>
      <c r="SSX24" s="84"/>
      <c r="SSY24" s="84"/>
      <c r="SSZ24" s="84"/>
      <c r="STA24" s="84"/>
      <c r="STB24" s="84"/>
      <c r="STC24" s="84"/>
      <c r="STD24" s="84"/>
      <c r="STE24" s="84"/>
      <c r="STF24" s="84"/>
      <c r="STG24" s="84"/>
      <c r="STH24" s="84"/>
      <c r="STI24" s="84"/>
      <c r="STJ24" s="84"/>
      <c r="STK24" s="84"/>
      <c r="STL24" s="84"/>
      <c r="STM24" s="84"/>
      <c r="STN24" s="84"/>
      <c r="STO24" s="84"/>
      <c r="STP24" s="84"/>
      <c r="STQ24" s="84"/>
      <c r="STR24" s="84"/>
      <c r="STS24" s="84"/>
      <c r="STT24" s="84"/>
      <c r="STU24" s="84"/>
      <c r="STV24" s="84"/>
      <c r="STW24" s="84"/>
      <c r="STX24" s="84"/>
      <c r="STY24" s="84"/>
      <c r="STZ24" s="84"/>
      <c r="SUA24" s="84"/>
      <c r="SUB24" s="84"/>
      <c r="SUC24" s="84"/>
      <c r="SUD24" s="84"/>
      <c r="SUE24" s="84"/>
      <c r="SUF24" s="84"/>
      <c r="SUG24" s="84"/>
      <c r="SUH24" s="84"/>
      <c r="SUI24" s="84"/>
      <c r="SUJ24" s="84"/>
      <c r="SUK24" s="84"/>
      <c r="SUL24" s="84"/>
      <c r="SUM24" s="84"/>
      <c r="SUN24" s="84"/>
      <c r="SUO24" s="84"/>
      <c r="SUP24" s="84"/>
      <c r="SUQ24" s="84"/>
      <c r="SUR24" s="84"/>
      <c r="SUS24" s="84"/>
      <c r="SUT24" s="84"/>
      <c r="SUU24" s="84"/>
      <c r="SUV24" s="84"/>
      <c r="SUW24" s="84"/>
      <c r="SUX24" s="84"/>
      <c r="SUY24" s="84"/>
      <c r="SUZ24" s="84"/>
      <c r="SVA24" s="84"/>
      <c r="SVB24" s="84"/>
      <c r="SVC24" s="84"/>
      <c r="SVD24" s="84"/>
      <c r="SVE24" s="84"/>
      <c r="SVF24" s="84"/>
      <c r="SVG24" s="84"/>
      <c r="SVH24" s="84"/>
      <c r="SVI24" s="84"/>
      <c r="SVJ24" s="84"/>
      <c r="SVK24" s="84"/>
      <c r="SVL24" s="84"/>
      <c r="SVM24" s="84"/>
      <c r="SVN24" s="84"/>
      <c r="SVO24" s="84"/>
      <c r="SVP24" s="84"/>
      <c r="SVQ24" s="84"/>
      <c r="SVR24" s="84"/>
      <c r="SVS24" s="84"/>
      <c r="SVT24" s="84"/>
      <c r="SVU24" s="84"/>
      <c r="SVV24" s="84"/>
      <c r="SVW24" s="84"/>
      <c r="SVX24" s="84"/>
      <c r="SVY24" s="84"/>
      <c r="SVZ24" s="84"/>
      <c r="SWA24" s="84"/>
      <c r="SWB24" s="84"/>
      <c r="SWC24" s="84"/>
      <c r="SWD24" s="84"/>
      <c r="SWE24" s="84"/>
      <c r="SWF24" s="84"/>
      <c r="SWG24" s="84"/>
      <c r="SWH24" s="84"/>
      <c r="SWI24" s="84"/>
      <c r="SWJ24" s="84"/>
      <c r="SWK24" s="84"/>
      <c r="SWL24" s="84"/>
      <c r="SWM24" s="84"/>
      <c r="SWN24" s="84"/>
      <c r="SWO24" s="84"/>
      <c r="SWP24" s="84"/>
      <c r="SWQ24" s="84"/>
      <c r="SWR24" s="84"/>
      <c r="SWS24" s="84"/>
      <c r="SWT24" s="84"/>
      <c r="SWU24" s="84"/>
      <c r="SWV24" s="84"/>
      <c r="SWW24" s="84"/>
      <c r="SWX24" s="84"/>
      <c r="SWY24" s="84"/>
      <c r="SWZ24" s="84"/>
      <c r="SXA24" s="84"/>
      <c r="SXB24" s="84"/>
      <c r="SXC24" s="84"/>
      <c r="SXD24" s="84"/>
      <c r="SXE24" s="84"/>
      <c r="SXF24" s="84"/>
      <c r="SXG24" s="84"/>
      <c r="SXH24" s="84"/>
      <c r="SXI24" s="84"/>
      <c r="SXJ24" s="84"/>
      <c r="SXK24" s="84"/>
      <c r="SXL24" s="84"/>
      <c r="SXM24" s="84"/>
      <c r="SXN24" s="84"/>
      <c r="SXO24" s="84"/>
      <c r="SXP24" s="84"/>
      <c r="SXQ24" s="84"/>
      <c r="SXR24" s="84"/>
      <c r="SXS24" s="84"/>
      <c r="SXT24" s="84"/>
      <c r="SXU24" s="84"/>
      <c r="SXV24" s="84"/>
      <c r="SXW24" s="84"/>
      <c r="SXX24" s="84"/>
      <c r="SXY24" s="84"/>
      <c r="SXZ24" s="84"/>
      <c r="SYA24" s="84"/>
      <c r="SYB24" s="84"/>
      <c r="SYC24" s="84"/>
      <c r="SYD24" s="84"/>
      <c r="SYE24" s="84"/>
      <c r="SYF24" s="84"/>
      <c r="SYG24" s="84"/>
      <c r="SYH24" s="84"/>
      <c r="SYI24" s="84"/>
      <c r="SYJ24" s="84"/>
      <c r="SYK24" s="84"/>
      <c r="SYL24" s="84"/>
      <c r="SYM24" s="84"/>
      <c r="SYN24" s="84"/>
      <c r="SYO24" s="84"/>
      <c r="SYP24" s="84"/>
      <c r="SYQ24" s="84"/>
      <c r="SYR24" s="84"/>
      <c r="SYS24" s="84"/>
      <c r="SYT24" s="84"/>
      <c r="SYU24" s="84"/>
      <c r="SYV24" s="84"/>
      <c r="SYW24" s="84"/>
      <c r="SYX24" s="84"/>
      <c r="SYY24" s="84"/>
      <c r="SYZ24" s="84"/>
      <c r="SZA24" s="84"/>
      <c r="SZB24" s="84"/>
      <c r="SZC24" s="84"/>
      <c r="SZD24" s="84"/>
      <c r="SZE24" s="84"/>
      <c r="SZF24" s="84"/>
      <c r="SZG24" s="84"/>
      <c r="SZH24" s="84"/>
      <c r="SZI24" s="84"/>
      <c r="SZJ24" s="84"/>
      <c r="SZK24" s="84"/>
      <c r="SZL24" s="84"/>
      <c r="SZM24" s="84"/>
      <c r="SZN24" s="84"/>
      <c r="SZO24" s="84"/>
      <c r="SZP24" s="84"/>
      <c r="SZQ24" s="84"/>
      <c r="SZR24" s="84"/>
      <c r="SZS24" s="84"/>
      <c r="SZT24" s="84"/>
      <c r="SZU24" s="84"/>
      <c r="SZV24" s="84"/>
      <c r="SZW24" s="84"/>
      <c r="SZX24" s="84"/>
      <c r="SZY24" s="84"/>
      <c r="SZZ24" s="84"/>
      <c r="TAA24" s="84"/>
      <c r="TAB24" s="84"/>
      <c r="TAC24" s="84"/>
      <c r="TAD24" s="84"/>
      <c r="TAE24" s="84"/>
      <c r="TAF24" s="84"/>
      <c r="TAG24" s="84"/>
      <c r="TAH24" s="84"/>
      <c r="TAI24" s="84"/>
      <c r="TAJ24" s="84"/>
      <c r="TAK24" s="84"/>
      <c r="TAL24" s="84"/>
      <c r="TAM24" s="84"/>
      <c r="TAN24" s="84"/>
      <c r="TAO24" s="84"/>
      <c r="TAP24" s="84"/>
      <c r="TAQ24" s="84"/>
      <c r="TAR24" s="84"/>
      <c r="TAS24" s="84"/>
      <c r="TAT24" s="84"/>
      <c r="TAU24" s="84"/>
      <c r="TAV24" s="84"/>
      <c r="TAW24" s="84"/>
      <c r="TAX24" s="84"/>
      <c r="TAY24" s="84"/>
      <c r="TAZ24" s="84"/>
      <c r="TBA24" s="84"/>
      <c r="TBB24" s="84"/>
      <c r="TBC24" s="84"/>
      <c r="TBD24" s="84"/>
      <c r="TBE24" s="84"/>
      <c r="TBF24" s="84"/>
      <c r="TBG24" s="84"/>
      <c r="TBH24" s="84"/>
      <c r="TBI24" s="84"/>
      <c r="TBJ24" s="84"/>
      <c r="TBK24" s="84"/>
      <c r="TBL24" s="84"/>
      <c r="TBM24" s="84"/>
      <c r="TBN24" s="84"/>
      <c r="TBO24" s="84"/>
      <c r="TBP24" s="84"/>
      <c r="TBQ24" s="84"/>
      <c r="TBR24" s="84"/>
      <c r="TBS24" s="84"/>
      <c r="TBT24" s="84"/>
      <c r="TBU24" s="84"/>
      <c r="TBV24" s="84"/>
      <c r="TBW24" s="84"/>
      <c r="TBX24" s="84"/>
      <c r="TBY24" s="84"/>
      <c r="TBZ24" s="84"/>
      <c r="TCA24" s="84"/>
      <c r="TCB24" s="84"/>
      <c r="TCC24" s="84"/>
      <c r="TCD24" s="84"/>
      <c r="TCE24" s="84"/>
      <c r="TCF24" s="84"/>
      <c r="TCG24" s="84"/>
      <c r="TCH24" s="84"/>
      <c r="TCI24" s="84"/>
      <c r="TCJ24" s="84"/>
      <c r="TCK24" s="84"/>
      <c r="TCL24" s="84"/>
      <c r="TCM24" s="84"/>
      <c r="TCN24" s="84"/>
      <c r="TCO24" s="84"/>
      <c r="TCP24" s="84"/>
      <c r="TCQ24" s="84"/>
      <c r="TCR24" s="84"/>
      <c r="TCS24" s="84"/>
      <c r="TCT24" s="84"/>
      <c r="TCU24" s="84"/>
      <c r="TCV24" s="84"/>
      <c r="TCW24" s="84"/>
      <c r="TCX24" s="84"/>
      <c r="TCY24" s="84"/>
      <c r="TCZ24" s="84"/>
      <c r="TDA24" s="84"/>
      <c r="TDB24" s="84"/>
      <c r="TDC24" s="84"/>
      <c r="TDD24" s="84"/>
      <c r="TDE24" s="84"/>
      <c r="TDF24" s="84"/>
      <c r="TDG24" s="84"/>
      <c r="TDH24" s="84"/>
      <c r="TDI24" s="84"/>
      <c r="TDJ24" s="84"/>
      <c r="TDK24" s="84"/>
      <c r="TDL24" s="84"/>
      <c r="TDM24" s="84"/>
      <c r="TDN24" s="84"/>
      <c r="TDO24" s="84"/>
      <c r="TDP24" s="84"/>
      <c r="TDQ24" s="84"/>
      <c r="TDR24" s="84"/>
      <c r="TDS24" s="84"/>
      <c r="TDT24" s="84"/>
      <c r="TDU24" s="84"/>
      <c r="TDV24" s="84"/>
      <c r="TDW24" s="84"/>
      <c r="TDX24" s="84"/>
      <c r="TDY24" s="84"/>
      <c r="TDZ24" s="84"/>
      <c r="TEA24" s="84"/>
      <c r="TEB24" s="84"/>
      <c r="TEC24" s="84"/>
      <c r="TED24" s="84"/>
      <c r="TEE24" s="84"/>
      <c r="TEF24" s="84"/>
      <c r="TEG24" s="84"/>
      <c r="TEH24" s="84"/>
      <c r="TEI24" s="84"/>
      <c r="TEJ24" s="84"/>
      <c r="TEK24" s="84"/>
      <c r="TEL24" s="84"/>
      <c r="TEM24" s="84"/>
      <c r="TEN24" s="84"/>
      <c r="TEO24" s="84"/>
      <c r="TEP24" s="84"/>
      <c r="TEQ24" s="84"/>
      <c r="TER24" s="84"/>
      <c r="TES24" s="84"/>
      <c r="TET24" s="84"/>
      <c r="TEU24" s="84"/>
      <c r="TEV24" s="84"/>
      <c r="TEW24" s="84"/>
      <c r="TEX24" s="84"/>
      <c r="TEY24" s="84"/>
      <c r="TEZ24" s="84"/>
      <c r="TFA24" s="84"/>
      <c r="TFB24" s="84"/>
      <c r="TFC24" s="84"/>
      <c r="TFD24" s="84"/>
      <c r="TFE24" s="84"/>
      <c r="TFF24" s="84"/>
      <c r="TFG24" s="84"/>
      <c r="TFH24" s="84"/>
      <c r="TFI24" s="84"/>
      <c r="TFJ24" s="84"/>
      <c r="TFK24" s="84"/>
      <c r="TFL24" s="84"/>
      <c r="TFM24" s="84"/>
      <c r="TFN24" s="84"/>
      <c r="TFO24" s="84"/>
      <c r="TFP24" s="84"/>
      <c r="TFQ24" s="84"/>
      <c r="TFR24" s="84"/>
      <c r="TFS24" s="84"/>
      <c r="TFT24" s="84"/>
      <c r="TFU24" s="84"/>
      <c r="TFV24" s="84"/>
      <c r="TFW24" s="84"/>
      <c r="TFX24" s="84"/>
      <c r="TFY24" s="84"/>
      <c r="TFZ24" s="84"/>
      <c r="TGA24" s="84"/>
      <c r="TGB24" s="84"/>
      <c r="TGC24" s="84"/>
      <c r="TGD24" s="84"/>
      <c r="TGE24" s="84"/>
      <c r="TGF24" s="84"/>
      <c r="TGG24" s="84"/>
      <c r="TGH24" s="84"/>
      <c r="TGI24" s="84"/>
      <c r="TGJ24" s="84"/>
      <c r="TGK24" s="84"/>
      <c r="TGL24" s="84"/>
      <c r="TGM24" s="84"/>
      <c r="TGN24" s="84"/>
      <c r="TGO24" s="84"/>
      <c r="TGP24" s="84"/>
      <c r="TGQ24" s="84"/>
      <c r="TGR24" s="84"/>
      <c r="TGS24" s="84"/>
      <c r="TGT24" s="84"/>
      <c r="TGU24" s="84"/>
      <c r="TGV24" s="84"/>
      <c r="TGW24" s="84"/>
      <c r="TGX24" s="84"/>
      <c r="TGY24" s="84"/>
      <c r="TGZ24" s="84"/>
      <c r="THA24" s="84"/>
      <c r="THB24" s="84"/>
      <c r="THC24" s="84"/>
      <c r="THD24" s="84"/>
      <c r="THE24" s="84"/>
      <c r="THF24" s="84"/>
      <c r="THG24" s="84"/>
      <c r="THH24" s="84"/>
      <c r="THI24" s="84"/>
      <c r="THJ24" s="84"/>
      <c r="THK24" s="84"/>
      <c r="THL24" s="84"/>
      <c r="THM24" s="84"/>
      <c r="THN24" s="84"/>
      <c r="THO24" s="84"/>
      <c r="THP24" s="84"/>
      <c r="THQ24" s="84"/>
      <c r="THR24" s="84"/>
      <c r="THS24" s="84"/>
      <c r="THT24" s="84"/>
      <c r="THU24" s="84"/>
      <c r="THV24" s="84"/>
      <c r="THW24" s="84"/>
      <c r="THX24" s="84"/>
      <c r="THY24" s="84"/>
      <c r="THZ24" s="84"/>
      <c r="TIA24" s="84"/>
      <c r="TIB24" s="84"/>
      <c r="TIC24" s="84"/>
      <c r="TID24" s="84"/>
      <c r="TIE24" s="84"/>
      <c r="TIF24" s="84"/>
      <c r="TIG24" s="84"/>
      <c r="TIH24" s="84"/>
      <c r="TII24" s="84"/>
      <c r="TIJ24" s="84"/>
      <c r="TIK24" s="84"/>
      <c r="TIL24" s="84"/>
      <c r="TIM24" s="84"/>
      <c r="TIN24" s="84"/>
      <c r="TIO24" s="84"/>
      <c r="TIP24" s="84"/>
      <c r="TIQ24" s="84"/>
      <c r="TIR24" s="84"/>
      <c r="TIS24" s="84"/>
      <c r="TIT24" s="84"/>
      <c r="TIU24" s="84"/>
      <c r="TIV24" s="84"/>
      <c r="TIW24" s="84"/>
      <c r="TIX24" s="84"/>
      <c r="TIY24" s="84"/>
      <c r="TIZ24" s="84"/>
      <c r="TJA24" s="84"/>
      <c r="TJB24" s="84"/>
      <c r="TJC24" s="84"/>
      <c r="TJD24" s="84"/>
      <c r="TJE24" s="84"/>
      <c r="TJF24" s="84"/>
      <c r="TJG24" s="84"/>
      <c r="TJH24" s="84"/>
      <c r="TJI24" s="84"/>
      <c r="TJJ24" s="84"/>
      <c r="TJK24" s="84"/>
      <c r="TJL24" s="84"/>
      <c r="TJM24" s="84"/>
      <c r="TJN24" s="84"/>
      <c r="TJO24" s="84"/>
      <c r="TJP24" s="84"/>
      <c r="TJQ24" s="84"/>
      <c r="TJR24" s="84"/>
      <c r="TJS24" s="84"/>
      <c r="TJT24" s="84"/>
      <c r="TJU24" s="84"/>
      <c r="TJV24" s="84"/>
      <c r="TJW24" s="84"/>
      <c r="TJX24" s="84"/>
      <c r="TJY24" s="84"/>
      <c r="TJZ24" s="84"/>
      <c r="TKA24" s="84"/>
      <c r="TKB24" s="84"/>
      <c r="TKC24" s="84"/>
      <c r="TKD24" s="84"/>
      <c r="TKE24" s="84"/>
      <c r="TKF24" s="84"/>
      <c r="TKG24" s="84"/>
      <c r="TKH24" s="84"/>
      <c r="TKI24" s="84"/>
      <c r="TKJ24" s="84"/>
      <c r="TKK24" s="84"/>
      <c r="TKL24" s="84"/>
      <c r="TKM24" s="84"/>
      <c r="TKN24" s="84"/>
      <c r="TKO24" s="84"/>
      <c r="TKP24" s="84"/>
      <c r="TKQ24" s="84"/>
      <c r="TKR24" s="84"/>
      <c r="TKS24" s="84"/>
      <c r="TKT24" s="84"/>
      <c r="TKU24" s="84"/>
      <c r="TKV24" s="84"/>
      <c r="TKW24" s="84"/>
      <c r="TKX24" s="84"/>
      <c r="TKY24" s="84"/>
      <c r="TKZ24" s="84"/>
      <c r="TLA24" s="84"/>
      <c r="TLB24" s="84"/>
      <c r="TLC24" s="84"/>
      <c r="TLD24" s="84"/>
      <c r="TLE24" s="84"/>
      <c r="TLF24" s="84"/>
      <c r="TLG24" s="84"/>
      <c r="TLH24" s="84"/>
      <c r="TLI24" s="84"/>
      <c r="TLJ24" s="84"/>
      <c r="TLK24" s="84"/>
      <c r="TLL24" s="84"/>
      <c r="TLM24" s="84"/>
      <c r="TLN24" s="84"/>
      <c r="TLO24" s="84"/>
      <c r="TLP24" s="84"/>
      <c r="TLQ24" s="84"/>
      <c r="TLR24" s="84"/>
      <c r="TLS24" s="84"/>
      <c r="TLT24" s="84"/>
      <c r="TLU24" s="84"/>
      <c r="TLV24" s="84"/>
      <c r="TLW24" s="84"/>
      <c r="TLX24" s="84"/>
      <c r="TLY24" s="84"/>
      <c r="TLZ24" s="84"/>
      <c r="TMA24" s="84"/>
      <c r="TMB24" s="84"/>
      <c r="TMC24" s="84"/>
      <c r="TMD24" s="84"/>
      <c r="TME24" s="84"/>
      <c r="TMF24" s="84"/>
      <c r="TMG24" s="84"/>
      <c r="TMH24" s="84"/>
      <c r="TMI24" s="84"/>
      <c r="TMJ24" s="84"/>
      <c r="TMK24" s="84"/>
      <c r="TML24" s="84"/>
      <c r="TMM24" s="84"/>
      <c r="TMN24" s="84"/>
      <c r="TMO24" s="84"/>
      <c r="TMP24" s="84"/>
      <c r="TMQ24" s="84"/>
      <c r="TMR24" s="84"/>
      <c r="TMS24" s="84"/>
      <c r="TMT24" s="84"/>
      <c r="TMU24" s="84"/>
      <c r="TMV24" s="84"/>
      <c r="TMW24" s="84"/>
      <c r="TMX24" s="84"/>
      <c r="TMY24" s="84"/>
      <c r="TMZ24" s="84"/>
      <c r="TNA24" s="84"/>
      <c r="TNB24" s="84"/>
      <c r="TNC24" s="84"/>
      <c r="TND24" s="84"/>
      <c r="TNE24" s="84"/>
      <c r="TNF24" s="84"/>
      <c r="TNG24" s="84"/>
      <c r="TNH24" s="84"/>
      <c r="TNI24" s="84"/>
      <c r="TNJ24" s="84"/>
      <c r="TNK24" s="84"/>
      <c r="TNL24" s="84"/>
      <c r="TNM24" s="84"/>
      <c r="TNN24" s="84"/>
      <c r="TNO24" s="84"/>
      <c r="TNP24" s="84"/>
      <c r="TNQ24" s="84"/>
      <c r="TNR24" s="84"/>
      <c r="TNS24" s="84"/>
      <c r="TNT24" s="84"/>
      <c r="TNU24" s="84"/>
      <c r="TNV24" s="84"/>
      <c r="TNW24" s="84"/>
      <c r="TNX24" s="84"/>
      <c r="TNY24" s="84"/>
      <c r="TNZ24" s="84"/>
      <c r="TOA24" s="84"/>
      <c r="TOB24" s="84"/>
      <c r="TOC24" s="84"/>
      <c r="TOD24" s="84"/>
      <c r="TOE24" s="84"/>
      <c r="TOF24" s="84"/>
      <c r="TOG24" s="84"/>
      <c r="TOH24" s="84"/>
      <c r="TOI24" s="84"/>
      <c r="TOJ24" s="84"/>
      <c r="TOK24" s="84"/>
      <c r="TOL24" s="84"/>
      <c r="TOM24" s="84"/>
      <c r="TON24" s="84"/>
      <c r="TOO24" s="84"/>
      <c r="TOP24" s="84"/>
      <c r="TOQ24" s="84"/>
      <c r="TOR24" s="84"/>
      <c r="TOS24" s="84"/>
      <c r="TOT24" s="84"/>
      <c r="TOU24" s="84"/>
      <c r="TOV24" s="84"/>
      <c r="TOW24" s="84"/>
      <c r="TOX24" s="84"/>
      <c r="TOY24" s="84"/>
      <c r="TOZ24" s="84"/>
      <c r="TPA24" s="84"/>
      <c r="TPB24" s="84"/>
      <c r="TPC24" s="84"/>
      <c r="TPD24" s="84"/>
      <c r="TPE24" s="84"/>
      <c r="TPF24" s="84"/>
      <c r="TPG24" s="84"/>
      <c r="TPH24" s="84"/>
      <c r="TPI24" s="84"/>
      <c r="TPJ24" s="84"/>
      <c r="TPK24" s="84"/>
      <c r="TPL24" s="84"/>
      <c r="TPM24" s="84"/>
      <c r="TPN24" s="84"/>
      <c r="TPO24" s="84"/>
      <c r="TPP24" s="84"/>
      <c r="TPQ24" s="84"/>
      <c r="TPR24" s="84"/>
      <c r="TPS24" s="84"/>
      <c r="TPT24" s="84"/>
      <c r="TPU24" s="84"/>
      <c r="TPV24" s="84"/>
      <c r="TPW24" s="84"/>
      <c r="TPX24" s="84"/>
      <c r="TPY24" s="84"/>
      <c r="TPZ24" s="84"/>
      <c r="TQA24" s="84"/>
      <c r="TQB24" s="84"/>
      <c r="TQC24" s="84"/>
      <c r="TQD24" s="84"/>
      <c r="TQE24" s="84"/>
      <c r="TQF24" s="84"/>
      <c r="TQG24" s="84"/>
      <c r="TQH24" s="84"/>
      <c r="TQI24" s="84"/>
      <c r="TQJ24" s="84"/>
      <c r="TQK24" s="84"/>
      <c r="TQL24" s="84"/>
      <c r="TQM24" s="84"/>
      <c r="TQN24" s="84"/>
      <c r="TQO24" s="84"/>
      <c r="TQP24" s="84"/>
      <c r="TQQ24" s="84"/>
      <c r="TQR24" s="84"/>
      <c r="TQS24" s="84"/>
      <c r="TQT24" s="84"/>
      <c r="TQU24" s="84"/>
      <c r="TQV24" s="84"/>
      <c r="TQW24" s="84"/>
      <c r="TQX24" s="84"/>
      <c r="TQY24" s="84"/>
      <c r="TQZ24" s="84"/>
      <c r="TRA24" s="84"/>
      <c r="TRB24" s="84"/>
      <c r="TRC24" s="84"/>
      <c r="TRD24" s="84"/>
      <c r="TRE24" s="84"/>
      <c r="TRF24" s="84"/>
      <c r="TRG24" s="84"/>
      <c r="TRH24" s="84"/>
      <c r="TRI24" s="84"/>
      <c r="TRJ24" s="84"/>
      <c r="TRK24" s="84"/>
      <c r="TRL24" s="84"/>
      <c r="TRM24" s="84"/>
      <c r="TRN24" s="84"/>
      <c r="TRO24" s="84"/>
      <c r="TRP24" s="84"/>
      <c r="TRQ24" s="84"/>
      <c r="TRR24" s="84"/>
      <c r="TRS24" s="84"/>
      <c r="TRT24" s="84"/>
      <c r="TRU24" s="84"/>
      <c r="TRV24" s="84"/>
      <c r="TRW24" s="84"/>
      <c r="TRX24" s="84"/>
      <c r="TRY24" s="84"/>
      <c r="TRZ24" s="84"/>
      <c r="TSA24" s="84"/>
      <c r="TSB24" s="84"/>
      <c r="TSC24" s="84"/>
      <c r="TSD24" s="84"/>
      <c r="TSE24" s="84"/>
      <c r="TSF24" s="84"/>
      <c r="TSG24" s="84"/>
      <c r="TSH24" s="84"/>
      <c r="TSI24" s="84"/>
      <c r="TSJ24" s="84"/>
      <c r="TSK24" s="84"/>
      <c r="TSL24" s="84"/>
      <c r="TSM24" s="84"/>
      <c r="TSN24" s="84"/>
      <c r="TSO24" s="84"/>
      <c r="TSP24" s="84"/>
      <c r="TSQ24" s="84"/>
      <c r="TSR24" s="84"/>
      <c r="TSS24" s="84"/>
      <c r="TST24" s="84"/>
      <c r="TSU24" s="84"/>
      <c r="TSV24" s="84"/>
      <c r="TSW24" s="84"/>
      <c r="TSX24" s="84"/>
      <c r="TSY24" s="84"/>
      <c r="TSZ24" s="84"/>
      <c r="TTA24" s="84"/>
      <c r="TTB24" s="84"/>
      <c r="TTC24" s="84"/>
      <c r="TTD24" s="84"/>
      <c r="TTE24" s="84"/>
      <c r="TTF24" s="84"/>
      <c r="TTG24" s="84"/>
      <c r="TTH24" s="84"/>
      <c r="TTI24" s="84"/>
      <c r="TTJ24" s="84"/>
      <c r="TTK24" s="84"/>
      <c r="TTL24" s="84"/>
      <c r="TTM24" s="84"/>
      <c r="TTN24" s="84"/>
      <c r="TTO24" s="84"/>
      <c r="TTP24" s="84"/>
      <c r="TTQ24" s="84"/>
      <c r="TTR24" s="84"/>
      <c r="TTS24" s="84"/>
      <c r="TTT24" s="84"/>
      <c r="TTU24" s="84"/>
      <c r="TTV24" s="84"/>
      <c r="TTW24" s="84"/>
      <c r="TTX24" s="84"/>
      <c r="TTY24" s="84"/>
      <c r="TTZ24" s="84"/>
      <c r="TUA24" s="84"/>
      <c r="TUB24" s="84"/>
      <c r="TUC24" s="84"/>
      <c r="TUD24" s="84"/>
      <c r="TUE24" s="84"/>
      <c r="TUF24" s="84"/>
      <c r="TUG24" s="84"/>
      <c r="TUH24" s="84"/>
      <c r="TUI24" s="84"/>
      <c r="TUJ24" s="84"/>
      <c r="TUK24" s="84"/>
      <c r="TUL24" s="84"/>
      <c r="TUM24" s="84"/>
      <c r="TUN24" s="84"/>
      <c r="TUO24" s="84"/>
      <c r="TUP24" s="84"/>
      <c r="TUQ24" s="84"/>
      <c r="TUR24" s="84"/>
      <c r="TUS24" s="84"/>
      <c r="TUT24" s="84"/>
      <c r="TUU24" s="84"/>
      <c r="TUV24" s="84"/>
      <c r="TUW24" s="84"/>
      <c r="TUX24" s="84"/>
      <c r="TUY24" s="84"/>
      <c r="TUZ24" s="84"/>
      <c r="TVA24" s="84"/>
      <c r="TVB24" s="84"/>
      <c r="TVC24" s="84"/>
      <c r="TVD24" s="84"/>
      <c r="TVE24" s="84"/>
      <c r="TVF24" s="84"/>
      <c r="TVG24" s="84"/>
      <c r="TVH24" s="84"/>
      <c r="TVI24" s="84"/>
      <c r="TVJ24" s="84"/>
      <c r="TVK24" s="84"/>
      <c r="TVL24" s="84"/>
      <c r="TVM24" s="84"/>
      <c r="TVN24" s="84"/>
      <c r="TVO24" s="84"/>
      <c r="TVP24" s="84"/>
      <c r="TVQ24" s="84"/>
      <c r="TVR24" s="84"/>
      <c r="TVS24" s="84"/>
      <c r="TVT24" s="84"/>
      <c r="TVU24" s="84"/>
      <c r="TVV24" s="84"/>
      <c r="TVW24" s="84"/>
      <c r="TVX24" s="84"/>
      <c r="TVY24" s="84"/>
      <c r="TVZ24" s="84"/>
      <c r="TWA24" s="84"/>
      <c r="TWB24" s="84"/>
      <c r="TWC24" s="84"/>
      <c r="TWD24" s="84"/>
      <c r="TWE24" s="84"/>
      <c r="TWF24" s="84"/>
      <c r="TWG24" s="84"/>
      <c r="TWH24" s="84"/>
      <c r="TWI24" s="84"/>
      <c r="TWJ24" s="84"/>
      <c r="TWK24" s="84"/>
      <c r="TWL24" s="84"/>
      <c r="TWM24" s="84"/>
      <c r="TWN24" s="84"/>
      <c r="TWO24" s="84"/>
      <c r="TWP24" s="84"/>
      <c r="TWQ24" s="84"/>
      <c r="TWR24" s="84"/>
      <c r="TWS24" s="84"/>
      <c r="TWT24" s="84"/>
      <c r="TWU24" s="84"/>
      <c r="TWV24" s="84"/>
      <c r="TWW24" s="84"/>
      <c r="TWX24" s="84"/>
      <c r="TWY24" s="84"/>
      <c r="TWZ24" s="84"/>
      <c r="TXA24" s="84"/>
      <c r="TXB24" s="84"/>
      <c r="TXC24" s="84"/>
      <c r="TXD24" s="84"/>
      <c r="TXE24" s="84"/>
      <c r="TXF24" s="84"/>
      <c r="TXG24" s="84"/>
      <c r="TXH24" s="84"/>
      <c r="TXI24" s="84"/>
      <c r="TXJ24" s="84"/>
      <c r="TXK24" s="84"/>
      <c r="TXL24" s="84"/>
      <c r="TXM24" s="84"/>
      <c r="TXN24" s="84"/>
      <c r="TXO24" s="84"/>
      <c r="TXP24" s="84"/>
      <c r="TXQ24" s="84"/>
      <c r="TXR24" s="84"/>
      <c r="TXS24" s="84"/>
      <c r="TXT24" s="84"/>
      <c r="TXU24" s="84"/>
      <c r="TXV24" s="84"/>
      <c r="TXW24" s="84"/>
      <c r="TXX24" s="84"/>
      <c r="TXY24" s="84"/>
      <c r="TXZ24" s="84"/>
      <c r="TYA24" s="84"/>
      <c r="TYB24" s="84"/>
      <c r="TYC24" s="84"/>
      <c r="TYD24" s="84"/>
      <c r="TYE24" s="84"/>
      <c r="TYF24" s="84"/>
      <c r="TYG24" s="84"/>
      <c r="TYH24" s="84"/>
      <c r="TYI24" s="84"/>
      <c r="TYJ24" s="84"/>
      <c r="TYK24" s="84"/>
      <c r="TYL24" s="84"/>
      <c r="TYM24" s="84"/>
      <c r="TYN24" s="84"/>
      <c r="TYO24" s="84"/>
      <c r="TYP24" s="84"/>
      <c r="TYQ24" s="84"/>
      <c r="TYR24" s="84"/>
      <c r="TYS24" s="84"/>
      <c r="TYT24" s="84"/>
      <c r="TYU24" s="84"/>
      <c r="TYV24" s="84"/>
      <c r="TYW24" s="84"/>
      <c r="TYX24" s="84"/>
      <c r="TYY24" s="84"/>
      <c r="TYZ24" s="84"/>
      <c r="TZA24" s="84"/>
      <c r="TZB24" s="84"/>
      <c r="TZC24" s="84"/>
      <c r="TZD24" s="84"/>
      <c r="TZE24" s="84"/>
      <c r="TZF24" s="84"/>
      <c r="TZG24" s="84"/>
      <c r="TZH24" s="84"/>
      <c r="TZI24" s="84"/>
      <c r="TZJ24" s="84"/>
      <c r="TZK24" s="84"/>
      <c r="TZL24" s="84"/>
      <c r="TZM24" s="84"/>
      <c r="TZN24" s="84"/>
      <c r="TZO24" s="84"/>
      <c r="TZP24" s="84"/>
      <c r="TZQ24" s="84"/>
      <c r="TZR24" s="84"/>
      <c r="TZS24" s="84"/>
      <c r="TZT24" s="84"/>
      <c r="TZU24" s="84"/>
      <c r="TZV24" s="84"/>
      <c r="TZW24" s="84"/>
      <c r="TZX24" s="84"/>
      <c r="TZY24" s="84"/>
      <c r="TZZ24" s="84"/>
      <c r="UAA24" s="84"/>
      <c r="UAB24" s="84"/>
      <c r="UAC24" s="84"/>
      <c r="UAD24" s="84"/>
      <c r="UAE24" s="84"/>
      <c r="UAF24" s="84"/>
      <c r="UAG24" s="84"/>
      <c r="UAH24" s="84"/>
      <c r="UAI24" s="84"/>
      <c r="UAJ24" s="84"/>
      <c r="UAK24" s="84"/>
      <c r="UAL24" s="84"/>
      <c r="UAM24" s="84"/>
      <c r="UAN24" s="84"/>
      <c r="UAO24" s="84"/>
      <c r="UAP24" s="84"/>
      <c r="UAQ24" s="84"/>
      <c r="UAR24" s="84"/>
      <c r="UAS24" s="84"/>
      <c r="UAT24" s="84"/>
      <c r="UAU24" s="84"/>
      <c r="UAV24" s="84"/>
      <c r="UAW24" s="84"/>
      <c r="UAX24" s="84"/>
      <c r="UAY24" s="84"/>
      <c r="UAZ24" s="84"/>
      <c r="UBA24" s="84"/>
      <c r="UBB24" s="84"/>
      <c r="UBC24" s="84"/>
      <c r="UBD24" s="84"/>
      <c r="UBE24" s="84"/>
      <c r="UBF24" s="84"/>
      <c r="UBG24" s="84"/>
      <c r="UBH24" s="84"/>
      <c r="UBI24" s="84"/>
      <c r="UBJ24" s="84"/>
      <c r="UBK24" s="84"/>
      <c r="UBL24" s="84"/>
      <c r="UBM24" s="84"/>
      <c r="UBN24" s="84"/>
      <c r="UBO24" s="84"/>
      <c r="UBP24" s="84"/>
      <c r="UBQ24" s="84"/>
      <c r="UBR24" s="84"/>
      <c r="UBS24" s="84"/>
      <c r="UBT24" s="84"/>
      <c r="UBU24" s="84"/>
      <c r="UBV24" s="84"/>
      <c r="UBW24" s="84"/>
      <c r="UBX24" s="84"/>
      <c r="UBY24" s="84"/>
      <c r="UBZ24" s="84"/>
      <c r="UCA24" s="84"/>
      <c r="UCB24" s="84"/>
      <c r="UCC24" s="84"/>
      <c r="UCD24" s="84"/>
      <c r="UCE24" s="84"/>
      <c r="UCF24" s="84"/>
      <c r="UCG24" s="84"/>
      <c r="UCH24" s="84"/>
      <c r="UCI24" s="84"/>
      <c r="UCJ24" s="84"/>
      <c r="UCK24" s="84"/>
      <c r="UCL24" s="84"/>
      <c r="UCM24" s="84"/>
      <c r="UCN24" s="84"/>
      <c r="UCO24" s="84"/>
      <c r="UCP24" s="84"/>
      <c r="UCQ24" s="84"/>
      <c r="UCR24" s="84"/>
      <c r="UCS24" s="84"/>
      <c r="UCT24" s="84"/>
      <c r="UCU24" s="84"/>
      <c r="UCV24" s="84"/>
      <c r="UCW24" s="84"/>
      <c r="UCX24" s="84"/>
      <c r="UCY24" s="84"/>
      <c r="UCZ24" s="84"/>
      <c r="UDA24" s="84"/>
      <c r="UDB24" s="84"/>
      <c r="UDC24" s="84"/>
      <c r="UDD24" s="84"/>
      <c r="UDE24" s="84"/>
      <c r="UDF24" s="84"/>
      <c r="UDG24" s="84"/>
      <c r="UDH24" s="84"/>
      <c r="UDI24" s="84"/>
      <c r="UDJ24" s="84"/>
      <c r="UDK24" s="84"/>
      <c r="UDL24" s="84"/>
      <c r="UDM24" s="84"/>
      <c r="UDN24" s="84"/>
      <c r="UDO24" s="84"/>
      <c r="UDP24" s="84"/>
      <c r="UDQ24" s="84"/>
      <c r="UDR24" s="84"/>
      <c r="UDS24" s="84"/>
      <c r="UDT24" s="84"/>
      <c r="UDU24" s="84"/>
      <c r="UDV24" s="84"/>
      <c r="UDW24" s="84"/>
      <c r="UDX24" s="84"/>
      <c r="UDY24" s="84"/>
      <c r="UDZ24" s="84"/>
      <c r="UEA24" s="84"/>
      <c r="UEB24" s="84"/>
      <c r="UEC24" s="84"/>
      <c r="UED24" s="84"/>
      <c r="UEE24" s="84"/>
      <c r="UEF24" s="84"/>
      <c r="UEG24" s="84"/>
      <c r="UEH24" s="84"/>
      <c r="UEI24" s="84"/>
      <c r="UEJ24" s="84"/>
      <c r="UEK24" s="84"/>
      <c r="UEL24" s="84"/>
      <c r="UEM24" s="84"/>
      <c r="UEN24" s="84"/>
      <c r="UEO24" s="84"/>
      <c r="UEP24" s="84"/>
      <c r="UEQ24" s="84"/>
      <c r="UER24" s="84"/>
      <c r="UES24" s="84"/>
      <c r="UET24" s="84"/>
      <c r="UEU24" s="84"/>
      <c r="UEV24" s="84"/>
      <c r="UEW24" s="84"/>
      <c r="UEX24" s="84"/>
      <c r="UEY24" s="84"/>
      <c r="UEZ24" s="84"/>
      <c r="UFA24" s="84"/>
      <c r="UFB24" s="84"/>
      <c r="UFC24" s="84"/>
      <c r="UFD24" s="84"/>
      <c r="UFE24" s="84"/>
      <c r="UFF24" s="84"/>
      <c r="UFG24" s="84"/>
      <c r="UFH24" s="84"/>
      <c r="UFI24" s="84"/>
      <c r="UFJ24" s="84"/>
      <c r="UFK24" s="84"/>
      <c r="UFL24" s="84"/>
      <c r="UFM24" s="84"/>
      <c r="UFN24" s="84"/>
      <c r="UFO24" s="84"/>
      <c r="UFP24" s="84"/>
      <c r="UFQ24" s="84"/>
      <c r="UFR24" s="84"/>
      <c r="UFS24" s="84"/>
      <c r="UFT24" s="84"/>
      <c r="UFU24" s="84"/>
      <c r="UFV24" s="84"/>
      <c r="UFW24" s="84"/>
      <c r="UFX24" s="84"/>
      <c r="UFY24" s="84"/>
      <c r="UFZ24" s="84"/>
      <c r="UGA24" s="84"/>
      <c r="UGB24" s="84"/>
      <c r="UGC24" s="84"/>
      <c r="UGD24" s="84"/>
      <c r="UGE24" s="84"/>
      <c r="UGF24" s="84"/>
      <c r="UGG24" s="84"/>
      <c r="UGH24" s="84"/>
      <c r="UGI24" s="84"/>
      <c r="UGJ24" s="84"/>
      <c r="UGK24" s="84"/>
      <c r="UGL24" s="84"/>
      <c r="UGM24" s="84"/>
      <c r="UGN24" s="84"/>
      <c r="UGO24" s="84"/>
      <c r="UGP24" s="84"/>
      <c r="UGQ24" s="84"/>
      <c r="UGR24" s="84"/>
      <c r="UGS24" s="84"/>
      <c r="UGT24" s="84"/>
      <c r="UGU24" s="84"/>
      <c r="UGV24" s="84"/>
      <c r="UGW24" s="84"/>
      <c r="UGX24" s="84"/>
      <c r="UGY24" s="84"/>
      <c r="UGZ24" s="84"/>
      <c r="UHA24" s="84"/>
      <c r="UHB24" s="84"/>
      <c r="UHC24" s="84"/>
      <c r="UHD24" s="84"/>
      <c r="UHE24" s="84"/>
      <c r="UHF24" s="84"/>
      <c r="UHG24" s="84"/>
      <c r="UHH24" s="84"/>
      <c r="UHI24" s="84"/>
      <c r="UHJ24" s="84"/>
      <c r="UHK24" s="84"/>
      <c r="UHL24" s="84"/>
      <c r="UHM24" s="84"/>
      <c r="UHN24" s="84"/>
      <c r="UHO24" s="84"/>
      <c r="UHP24" s="84"/>
      <c r="UHQ24" s="84"/>
      <c r="UHR24" s="84"/>
      <c r="UHS24" s="84"/>
      <c r="UHT24" s="84"/>
      <c r="UHU24" s="84"/>
      <c r="UHV24" s="84"/>
      <c r="UHW24" s="84"/>
      <c r="UHX24" s="84"/>
      <c r="UHY24" s="84"/>
      <c r="UHZ24" s="84"/>
      <c r="UIA24" s="84"/>
      <c r="UIB24" s="84"/>
      <c r="UIC24" s="84"/>
      <c r="UID24" s="84"/>
      <c r="UIE24" s="84"/>
      <c r="UIF24" s="84"/>
      <c r="UIG24" s="84"/>
      <c r="UIH24" s="84"/>
      <c r="UII24" s="84"/>
      <c r="UIJ24" s="84"/>
      <c r="UIK24" s="84"/>
      <c r="UIL24" s="84"/>
      <c r="UIM24" s="84"/>
      <c r="UIN24" s="84"/>
      <c r="UIO24" s="84"/>
      <c r="UIP24" s="84"/>
      <c r="UIQ24" s="84"/>
      <c r="UIR24" s="84"/>
      <c r="UIS24" s="84"/>
      <c r="UIT24" s="84"/>
      <c r="UIU24" s="84"/>
      <c r="UIV24" s="84"/>
      <c r="UIW24" s="84"/>
      <c r="UIX24" s="84"/>
      <c r="UIY24" s="84"/>
      <c r="UIZ24" s="84"/>
      <c r="UJA24" s="84"/>
      <c r="UJB24" s="84"/>
      <c r="UJC24" s="84"/>
      <c r="UJD24" s="84"/>
      <c r="UJE24" s="84"/>
      <c r="UJF24" s="84"/>
      <c r="UJG24" s="84"/>
      <c r="UJH24" s="84"/>
      <c r="UJI24" s="84"/>
      <c r="UJJ24" s="84"/>
      <c r="UJK24" s="84"/>
      <c r="UJL24" s="84"/>
      <c r="UJM24" s="84"/>
      <c r="UJN24" s="84"/>
      <c r="UJO24" s="84"/>
      <c r="UJP24" s="84"/>
      <c r="UJQ24" s="84"/>
      <c r="UJR24" s="84"/>
      <c r="UJS24" s="84"/>
      <c r="UJT24" s="84"/>
      <c r="UJU24" s="84"/>
      <c r="UJV24" s="84"/>
      <c r="UJW24" s="84"/>
      <c r="UJX24" s="84"/>
      <c r="UJY24" s="84"/>
      <c r="UJZ24" s="84"/>
      <c r="UKA24" s="84"/>
      <c r="UKB24" s="84"/>
      <c r="UKC24" s="84"/>
      <c r="UKD24" s="84"/>
      <c r="UKE24" s="84"/>
      <c r="UKF24" s="84"/>
      <c r="UKG24" s="84"/>
      <c r="UKH24" s="84"/>
      <c r="UKI24" s="84"/>
      <c r="UKJ24" s="84"/>
      <c r="UKK24" s="84"/>
      <c r="UKL24" s="84"/>
      <c r="UKM24" s="84"/>
      <c r="UKN24" s="84"/>
      <c r="UKO24" s="84"/>
      <c r="UKP24" s="84"/>
      <c r="UKQ24" s="84"/>
      <c r="UKR24" s="84"/>
      <c r="UKS24" s="84"/>
      <c r="UKT24" s="84"/>
      <c r="UKU24" s="84"/>
      <c r="UKV24" s="84"/>
      <c r="UKW24" s="84"/>
      <c r="UKX24" s="84"/>
      <c r="UKY24" s="84"/>
      <c r="UKZ24" s="84"/>
      <c r="ULA24" s="84"/>
      <c r="ULB24" s="84"/>
      <c r="ULC24" s="84"/>
      <c r="ULD24" s="84"/>
      <c r="ULE24" s="84"/>
      <c r="ULF24" s="84"/>
      <c r="ULG24" s="84"/>
      <c r="ULH24" s="84"/>
      <c r="ULI24" s="84"/>
      <c r="ULJ24" s="84"/>
      <c r="ULK24" s="84"/>
      <c r="ULL24" s="84"/>
      <c r="ULM24" s="84"/>
      <c r="ULN24" s="84"/>
      <c r="ULO24" s="84"/>
      <c r="ULP24" s="84"/>
      <c r="ULQ24" s="84"/>
      <c r="ULR24" s="84"/>
      <c r="ULS24" s="84"/>
      <c r="ULT24" s="84"/>
      <c r="ULU24" s="84"/>
      <c r="ULV24" s="84"/>
      <c r="ULW24" s="84"/>
      <c r="ULX24" s="84"/>
      <c r="ULY24" s="84"/>
      <c r="ULZ24" s="84"/>
      <c r="UMA24" s="84"/>
      <c r="UMB24" s="84"/>
      <c r="UMC24" s="84"/>
      <c r="UMD24" s="84"/>
      <c r="UME24" s="84"/>
      <c r="UMF24" s="84"/>
      <c r="UMG24" s="84"/>
      <c r="UMH24" s="84"/>
      <c r="UMI24" s="84"/>
      <c r="UMJ24" s="84"/>
      <c r="UMK24" s="84"/>
      <c r="UML24" s="84"/>
      <c r="UMM24" s="84"/>
      <c r="UMN24" s="84"/>
      <c r="UMO24" s="84"/>
      <c r="UMP24" s="84"/>
      <c r="UMQ24" s="84"/>
      <c r="UMR24" s="84"/>
      <c r="UMS24" s="84"/>
      <c r="UMT24" s="84"/>
      <c r="UMU24" s="84"/>
      <c r="UMV24" s="84"/>
      <c r="UMW24" s="84"/>
      <c r="UMX24" s="84"/>
      <c r="UMY24" s="84"/>
      <c r="UMZ24" s="84"/>
      <c r="UNA24" s="84"/>
      <c r="UNB24" s="84"/>
      <c r="UNC24" s="84"/>
      <c r="UND24" s="84"/>
      <c r="UNE24" s="84"/>
      <c r="UNF24" s="84"/>
      <c r="UNG24" s="84"/>
      <c r="UNH24" s="84"/>
      <c r="UNI24" s="84"/>
      <c r="UNJ24" s="84"/>
      <c r="UNK24" s="84"/>
      <c r="UNL24" s="84"/>
      <c r="UNM24" s="84"/>
      <c r="UNN24" s="84"/>
      <c r="UNO24" s="84"/>
      <c r="UNP24" s="84"/>
      <c r="UNQ24" s="84"/>
      <c r="UNR24" s="84"/>
      <c r="UNS24" s="84"/>
      <c r="UNT24" s="84"/>
      <c r="UNU24" s="84"/>
      <c r="UNV24" s="84"/>
      <c r="UNW24" s="84"/>
      <c r="UNX24" s="84"/>
      <c r="UNY24" s="84"/>
      <c r="UNZ24" s="84"/>
      <c r="UOA24" s="84"/>
      <c r="UOB24" s="84"/>
      <c r="UOC24" s="84"/>
      <c r="UOD24" s="84"/>
      <c r="UOE24" s="84"/>
      <c r="UOF24" s="84"/>
      <c r="UOG24" s="84"/>
      <c r="UOH24" s="84"/>
      <c r="UOI24" s="84"/>
      <c r="UOJ24" s="84"/>
      <c r="UOK24" s="84"/>
      <c r="UOL24" s="84"/>
      <c r="UOM24" s="84"/>
      <c r="UON24" s="84"/>
      <c r="UOO24" s="84"/>
      <c r="UOP24" s="84"/>
      <c r="UOQ24" s="84"/>
      <c r="UOR24" s="84"/>
      <c r="UOS24" s="84"/>
      <c r="UOT24" s="84"/>
      <c r="UOU24" s="84"/>
      <c r="UOV24" s="84"/>
      <c r="UOW24" s="84"/>
      <c r="UOX24" s="84"/>
      <c r="UOY24" s="84"/>
      <c r="UOZ24" s="84"/>
      <c r="UPA24" s="84"/>
      <c r="UPB24" s="84"/>
      <c r="UPC24" s="84"/>
      <c r="UPD24" s="84"/>
      <c r="UPE24" s="84"/>
      <c r="UPF24" s="84"/>
      <c r="UPG24" s="84"/>
      <c r="UPH24" s="84"/>
      <c r="UPI24" s="84"/>
      <c r="UPJ24" s="84"/>
      <c r="UPK24" s="84"/>
      <c r="UPL24" s="84"/>
      <c r="UPM24" s="84"/>
      <c r="UPN24" s="84"/>
      <c r="UPO24" s="84"/>
      <c r="UPP24" s="84"/>
      <c r="UPQ24" s="84"/>
      <c r="UPR24" s="84"/>
      <c r="UPS24" s="84"/>
      <c r="UPT24" s="84"/>
      <c r="UPU24" s="84"/>
      <c r="UPV24" s="84"/>
      <c r="UPW24" s="84"/>
      <c r="UPX24" s="84"/>
      <c r="UPY24" s="84"/>
      <c r="UPZ24" s="84"/>
      <c r="UQA24" s="84"/>
      <c r="UQB24" s="84"/>
      <c r="UQC24" s="84"/>
      <c r="UQD24" s="84"/>
      <c r="UQE24" s="84"/>
      <c r="UQF24" s="84"/>
      <c r="UQG24" s="84"/>
      <c r="UQH24" s="84"/>
      <c r="UQI24" s="84"/>
      <c r="UQJ24" s="84"/>
      <c r="UQK24" s="84"/>
      <c r="UQL24" s="84"/>
      <c r="UQM24" s="84"/>
      <c r="UQN24" s="84"/>
      <c r="UQO24" s="84"/>
      <c r="UQP24" s="84"/>
      <c r="UQQ24" s="84"/>
      <c r="UQR24" s="84"/>
      <c r="UQS24" s="84"/>
      <c r="UQT24" s="84"/>
      <c r="UQU24" s="84"/>
      <c r="UQV24" s="84"/>
      <c r="UQW24" s="84"/>
      <c r="UQX24" s="84"/>
      <c r="UQY24" s="84"/>
      <c r="UQZ24" s="84"/>
      <c r="URA24" s="84"/>
      <c r="URB24" s="84"/>
      <c r="URC24" s="84"/>
      <c r="URD24" s="84"/>
      <c r="URE24" s="84"/>
      <c r="URF24" s="84"/>
      <c r="URG24" s="84"/>
      <c r="URH24" s="84"/>
      <c r="URI24" s="84"/>
      <c r="URJ24" s="84"/>
      <c r="URK24" s="84"/>
      <c r="URL24" s="84"/>
      <c r="URM24" s="84"/>
      <c r="URN24" s="84"/>
      <c r="URO24" s="84"/>
      <c r="URP24" s="84"/>
      <c r="URQ24" s="84"/>
      <c r="URR24" s="84"/>
      <c r="URS24" s="84"/>
      <c r="URT24" s="84"/>
      <c r="URU24" s="84"/>
      <c r="URV24" s="84"/>
      <c r="URW24" s="84"/>
      <c r="URX24" s="84"/>
      <c r="URY24" s="84"/>
      <c r="URZ24" s="84"/>
      <c r="USA24" s="84"/>
      <c r="USB24" s="84"/>
      <c r="USC24" s="84"/>
      <c r="USD24" s="84"/>
      <c r="USE24" s="84"/>
      <c r="USF24" s="84"/>
      <c r="USG24" s="84"/>
      <c r="USH24" s="84"/>
      <c r="USI24" s="84"/>
      <c r="USJ24" s="84"/>
      <c r="USK24" s="84"/>
      <c r="USL24" s="84"/>
      <c r="USM24" s="84"/>
      <c r="USN24" s="84"/>
      <c r="USO24" s="84"/>
      <c r="USP24" s="84"/>
      <c r="USQ24" s="84"/>
      <c r="USR24" s="84"/>
      <c r="USS24" s="84"/>
      <c r="UST24" s="84"/>
      <c r="USU24" s="84"/>
      <c r="USV24" s="84"/>
      <c r="USW24" s="84"/>
      <c r="USX24" s="84"/>
      <c r="USY24" s="84"/>
      <c r="USZ24" s="84"/>
      <c r="UTA24" s="84"/>
      <c r="UTB24" s="84"/>
      <c r="UTC24" s="84"/>
      <c r="UTD24" s="84"/>
      <c r="UTE24" s="84"/>
      <c r="UTF24" s="84"/>
      <c r="UTG24" s="84"/>
      <c r="UTH24" s="84"/>
      <c r="UTI24" s="84"/>
      <c r="UTJ24" s="84"/>
      <c r="UTK24" s="84"/>
      <c r="UTL24" s="84"/>
      <c r="UTM24" s="84"/>
      <c r="UTN24" s="84"/>
      <c r="UTO24" s="84"/>
      <c r="UTP24" s="84"/>
      <c r="UTQ24" s="84"/>
      <c r="UTR24" s="84"/>
      <c r="UTS24" s="84"/>
      <c r="UTT24" s="84"/>
      <c r="UTU24" s="84"/>
      <c r="UTV24" s="84"/>
      <c r="UTW24" s="84"/>
      <c r="UTX24" s="84"/>
      <c r="UTY24" s="84"/>
      <c r="UTZ24" s="84"/>
      <c r="UUA24" s="84"/>
      <c r="UUB24" s="84"/>
      <c r="UUC24" s="84"/>
      <c r="UUD24" s="84"/>
      <c r="UUE24" s="84"/>
      <c r="UUF24" s="84"/>
      <c r="UUG24" s="84"/>
      <c r="UUH24" s="84"/>
      <c r="UUI24" s="84"/>
      <c r="UUJ24" s="84"/>
      <c r="UUK24" s="84"/>
      <c r="UUL24" s="84"/>
      <c r="UUM24" s="84"/>
      <c r="UUN24" s="84"/>
      <c r="UUO24" s="84"/>
      <c r="UUP24" s="84"/>
      <c r="UUQ24" s="84"/>
      <c r="UUR24" s="84"/>
      <c r="UUS24" s="84"/>
      <c r="UUT24" s="84"/>
      <c r="UUU24" s="84"/>
      <c r="UUV24" s="84"/>
      <c r="UUW24" s="84"/>
      <c r="UUX24" s="84"/>
      <c r="UUY24" s="84"/>
      <c r="UUZ24" s="84"/>
      <c r="UVA24" s="84"/>
      <c r="UVB24" s="84"/>
      <c r="UVC24" s="84"/>
      <c r="UVD24" s="84"/>
      <c r="UVE24" s="84"/>
      <c r="UVF24" s="84"/>
      <c r="UVG24" s="84"/>
      <c r="UVH24" s="84"/>
      <c r="UVI24" s="84"/>
      <c r="UVJ24" s="84"/>
      <c r="UVK24" s="84"/>
      <c r="UVL24" s="84"/>
      <c r="UVM24" s="84"/>
      <c r="UVN24" s="84"/>
      <c r="UVO24" s="84"/>
      <c r="UVP24" s="84"/>
      <c r="UVQ24" s="84"/>
      <c r="UVR24" s="84"/>
      <c r="UVS24" s="84"/>
      <c r="UVT24" s="84"/>
      <c r="UVU24" s="84"/>
      <c r="UVV24" s="84"/>
      <c r="UVW24" s="84"/>
      <c r="UVX24" s="84"/>
      <c r="UVY24" s="84"/>
      <c r="UVZ24" s="84"/>
      <c r="UWA24" s="84"/>
      <c r="UWB24" s="84"/>
      <c r="UWC24" s="84"/>
      <c r="UWD24" s="84"/>
      <c r="UWE24" s="84"/>
      <c r="UWF24" s="84"/>
      <c r="UWG24" s="84"/>
      <c r="UWH24" s="84"/>
      <c r="UWI24" s="84"/>
      <c r="UWJ24" s="84"/>
      <c r="UWK24" s="84"/>
      <c r="UWL24" s="84"/>
      <c r="UWM24" s="84"/>
      <c r="UWN24" s="84"/>
      <c r="UWO24" s="84"/>
      <c r="UWP24" s="84"/>
      <c r="UWQ24" s="84"/>
      <c r="UWR24" s="84"/>
      <c r="UWS24" s="84"/>
      <c r="UWT24" s="84"/>
      <c r="UWU24" s="84"/>
      <c r="UWV24" s="84"/>
      <c r="UWW24" s="84"/>
      <c r="UWX24" s="84"/>
      <c r="UWY24" s="84"/>
      <c r="UWZ24" s="84"/>
      <c r="UXA24" s="84"/>
      <c r="UXB24" s="84"/>
      <c r="UXC24" s="84"/>
      <c r="UXD24" s="84"/>
      <c r="UXE24" s="84"/>
      <c r="UXF24" s="84"/>
      <c r="UXG24" s="84"/>
      <c r="UXH24" s="84"/>
      <c r="UXI24" s="84"/>
      <c r="UXJ24" s="84"/>
      <c r="UXK24" s="84"/>
      <c r="UXL24" s="84"/>
      <c r="UXM24" s="84"/>
      <c r="UXN24" s="84"/>
      <c r="UXO24" s="84"/>
      <c r="UXP24" s="84"/>
      <c r="UXQ24" s="84"/>
      <c r="UXR24" s="84"/>
      <c r="UXS24" s="84"/>
      <c r="UXT24" s="84"/>
      <c r="UXU24" s="84"/>
      <c r="UXV24" s="84"/>
      <c r="UXW24" s="84"/>
      <c r="UXX24" s="84"/>
      <c r="UXY24" s="84"/>
      <c r="UXZ24" s="84"/>
      <c r="UYA24" s="84"/>
      <c r="UYB24" s="84"/>
      <c r="UYC24" s="84"/>
      <c r="UYD24" s="84"/>
      <c r="UYE24" s="84"/>
      <c r="UYF24" s="84"/>
      <c r="UYG24" s="84"/>
      <c r="UYH24" s="84"/>
      <c r="UYI24" s="84"/>
      <c r="UYJ24" s="84"/>
      <c r="UYK24" s="84"/>
      <c r="UYL24" s="84"/>
      <c r="UYM24" s="84"/>
      <c r="UYN24" s="84"/>
      <c r="UYO24" s="84"/>
      <c r="UYP24" s="84"/>
      <c r="UYQ24" s="84"/>
      <c r="UYR24" s="84"/>
      <c r="UYS24" s="84"/>
      <c r="UYT24" s="84"/>
      <c r="UYU24" s="84"/>
      <c r="UYV24" s="84"/>
      <c r="UYW24" s="84"/>
      <c r="UYX24" s="84"/>
      <c r="UYY24" s="84"/>
      <c r="UYZ24" s="84"/>
      <c r="UZA24" s="84"/>
      <c r="UZB24" s="84"/>
      <c r="UZC24" s="84"/>
      <c r="UZD24" s="84"/>
      <c r="UZE24" s="84"/>
      <c r="UZF24" s="84"/>
      <c r="UZG24" s="84"/>
      <c r="UZH24" s="84"/>
      <c r="UZI24" s="84"/>
      <c r="UZJ24" s="84"/>
      <c r="UZK24" s="84"/>
      <c r="UZL24" s="84"/>
      <c r="UZM24" s="84"/>
      <c r="UZN24" s="84"/>
      <c r="UZO24" s="84"/>
      <c r="UZP24" s="84"/>
      <c r="UZQ24" s="84"/>
      <c r="UZR24" s="84"/>
      <c r="UZS24" s="84"/>
      <c r="UZT24" s="84"/>
      <c r="UZU24" s="84"/>
      <c r="UZV24" s="84"/>
      <c r="UZW24" s="84"/>
      <c r="UZX24" s="84"/>
      <c r="UZY24" s="84"/>
      <c r="UZZ24" s="84"/>
      <c r="VAA24" s="84"/>
      <c r="VAB24" s="84"/>
      <c r="VAC24" s="84"/>
      <c r="VAD24" s="84"/>
      <c r="VAE24" s="84"/>
      <c r="VAF24" s="84"/>
      <c r="VAG24" s="84"/>
      <c r="VAH24" s="84"/>
      <c r="VAI24" s="84"/>
      <c r="VAJ24" s="84"/>
      <c r="VAK24" s="84"/>
      <c r="VAL24" s="84"/>
      <c r="VAM24" s="84"/>
      <c r="VAN24" s="84"/>
      <c r="VAO24" s="84"/>
      <c r="VAP24" s="84"/>
      <c r="VAQ24" s="84"/>
      <c r="VAR24" s="84"/>
      <c r="VAS24" s="84"/>
      <c r="VAT24" s="84"/>
      <c r="VAU24" s="84"/>
      <c r="VAV24" s="84"/>
      <c r="VAW24" s="84"/>
      <c r="VAX24" s="84"/>
      <c r="VAY24" s="84"/>
      <c r="VAZ24" s="84"/>
      <c r="VBA24" s="84"/>
      <c r="VBB24" s="84"/>
      <c r="VBC24" s="84"/>
      <c r="VBD24" s="84"/>
      <c r="VBE24" s="84"/>
      <c r="VBF24" s="84"/>
      <c r="VBG24" s="84"/>
      <c r="VBH24" s="84"/>
      <c r="VBI24" s="84"/>
      <c r="VBJ24" s="84"/>
      <c r="VBK24" s="84"/>
      <c r="VBL24" s="84"/>
      <c r="VBM24" s="84"/>
      <c r="VBN24" s="84"/>
      <c r="VBO24" s="84"/>
      <c r="VBP24" s="84"/>
      <c r="VBQ24" s="84"/>
      <c r="VBR24" s="84"/>
      <c r="VBS24" s="84"/>
      <c r="VBT24" s="84"/>
      <c r="VBU24" s="84"/>
      <c r="VBV24" s="84"/>
      <c r="VBW24" s="84"/>
      <c r="VBX24" s="84"/>
      <c r="VBY24" s="84"/>
      <c r="VBZ24" s="84"/>
      <c r="VCA24" s="84"/>
      <c r="VCB24" s="84"/>
      <c r="VCC24" s="84"/>
      <c r="VCD24" s="84"/>
      <c r="VCE24" s="84"/>
      <c r="VCF24" s="84"/>
      <c r="VCG24" s="84"/>
      <c r="VCH24" s="84"/>
      <c r="VCI24" s="84"/>
      <c r="VCJ24" s="84"/>
      <c r="VCK24" s="84"/>
      <c r="VCL24" s="84"/>
      <c r="VCM24" s="84"/>
      <c r="VCN24" s="84"/>
      <c r="VCO24" s="84"/>
      <c r="VCP24" s="84"/>
      <c r="VCQ24" s="84"/>
      <c r="VCR24" s="84"/>
      <c r="VCS24" s="84"/>
      <c r="VCT24" s="84"/>
      <c r="VCU24" s="84"/>
      <c r="VCV24" s="84"/>
      <c r="VCW24" s="84"/>
      <c r="VCX24" s="84"/>
      <c r="VCY24" s="84"/>
      <c r="VCZ24" s="84"/>
      <c r="VDA24" s="84"/>
      <c r="VDB24" s="84"/>
      <c r="VDC24" s="84"/>
      <c r="VDD24" s="84"/>
      <c r="VDE24" s="84"/>
      <c r="VDF24" s="84"/>
      <c r="VDG24" s="84"/>
      <c r="VDH24" s="84"/>
      <c r="VDI24" s="84"/>
      <c r="VDJ24" s="84"/>
      <c r="VDK24" s="84"/>
      <c r="VDL24" s="84"/>
      <c r="VDM24" s="84"/>
      <c r="VDN24" s="84"/>
      <c r="VDO24" s="84"/>
      <c r="VDP24" s="84"/>
      <c r="VDQ24" s="84"/>
      <c r="VDR24" s="84"/>
      <c r="VDS24" s="84"/>
      <c r="VDT24" s="84"/>
      <c r="VDU24" s="84"/>
      <c r="VDV24" s="84"/>
      <c r="VDW24" s="84"/>
      <c r="VDX24" s="84"/>
      <c r="VDY24" s="84"/>
      <c r="VDZ24" s="84"/>
      <c r="VEA24" s="84"/>
      <c r="VEB24" s="84"/>
      <c r="VEC24" s="84"/>
      <c r="VED24" s="84"/>
      <c r="VEE24" s="84"/>
      <c r="VEF24" s="84"/>
      <c r="VEG24" s="84"/>
      <c r="VEH24" s="84"/>
      <c r="VEI24" s="84"/>
      <c r="VEJ24" s="84"/>
      <c r="VEK24" s="84"/>
      <c r="VEL24" s="84"/>
      <c r="VEM24" s="84"/>
      <c r="VEN24" s="84"/>
      <c r="VEO24" s="84"/>
      <c r="VEP24" s="84"/>
      <c r="VEQ24" s="84"/>
      <c r="VER24" s="84"/>
      <c r="VES24" s="84"/>
      <c r="VET24" s="84"/>
      <c r="VEU24" s="84"/>
      <c r="VEV24" s="84"/>
      <c r="VEW24" s="84"/>
      <c r="VEX24" s="84"/>
      <c r="VEY24" s="84"/>
      <c r="VEZ24" s="84"/>
      <c r="VFA24" s="84"/>
      <c r="VFB24" s="84"/>
      <c r="VFC24" s="84"/>
      <c r="VFD24" s="84"/>
      <c r="VFE24" s="84"/>
      <c r="VFF24" s="84"/>
      <c r="VFG24" s="84"/>
      <c r="VFH24" s="84"/>
      <c r="VFI24" s="84"/>
      <c r="VFJ24" s="84"/>
      <c r="VFK24" s="84"/>
      <c r="VFL24" s="84"/>
      <c r="VFM24" s="84"/>
      <c r="VFN24" s="84"/>
      <c r="VFO24" s="84"/>
      <c r="VFP24" s="84"/>
      <c r="VFQ24" s="84"/>
      <c r="VFR24" s="84"/>
      <c r="VFS24" s="84"/>
      <c r="VFT24" s="84"/>
      <c r="VFU24" s="84"/>
      <c r="VFV24" s="84"/>
      <c r="VFW24" s="84"/>
      <c r="VFX24" s="84"/>
      <c r="VFY24" s="84"/>
      <c r="VFZ24" s="84"/>
      <c r="VGA24" s="84"/>
      <c r="VGB24" s="84"/>
      <c r="VGC24" s="84"/>
      <c r="VGD24" s="84"/>
      <c r="VGE24" s="84"/>
      <c r="VGF24" s="84"/>
      <c r="VGG24" s="84"/>
      <c r="VGH24" s="84"/>
      <c r="VGI24" s="84"/>
      <c r="VGJ24" s="84"/>
      <c r="VGK24" s="84"/>
      <c r="VGL24" s="84"/>
      <c r="VGM24" s="84"/>
      <c r="VGN24" s="84"/>
      <c r="VGO24" s="84"/>
      <c r="VGP24" s="84"/>
      <c r="VGQ24" s="84"/>
      <c r="VGR24" s="84"/>
      <c r="VGS24" s="84"/>
      <c r="VGT24" s="84"/>
      <c r="VGU24" s="84"/>
      <c r="VGV24" s="84"/>
      <c r="VGW24" s="84"/>
      <c r="VGX24" s="84"/>
      <c r="VGY24" s="84"/>
      <c r="VGZ24" s="84"/>
      <c r="VHA24" s="84"/>
      <c r="VHB24" s="84"/>
      <c r="VHC24" s="84"/>
      <c r="VHD24" s="84"/>
      <c r="VHE24" s="84"/>
      <c r="VHF24" s="84"/>
      <c r="VHG24" s="84"/>
      <c r="VHH24" s="84"/>
      <c r="VHI24" s="84"/>
      <c r="VHJ24" s="84"/>
      <c r="VHK24" s="84"/>
      <c r="VHL24" s="84"/>
      <c r="VHM24" s="84"/>
      <c r="VHN24" s="84"/>
      <c r="VHO24" s="84"/>
      <c r="VHP24" s="84"/>
      <c r="VHQ24" s="84"/>
      <c r="VHR24" s="84"/>
      <c r="VHS24" s="84"/>
      <c r="VHT24" s="84"/>
      <c r="VHU24" s="84"/>
      <c r="VHV24" s="84"/>
      <c r="VHW24" s="84"/>
      <c r="VHX24" s="84"/>
      <c r="VHY24" s="84"/>
      <c r="VHZ24" s="84"/>
      <c r="VIA24" s="84"/>
      <c r="VIB24" s="84"/>
      <c r="VIC24" s="84"/>
      <c r="VID24" s="84"/>
      <c r="VIE24" s="84"/>
      <c r="VIF24" s="84"/>
      <c r="VIG24" s="84"/>
      <c r="VIH24" s="84"/>
      <c r="VII24" s="84"/>
      <c r="VIJ24" s="84"/>
      <c r="VIK24" s="84"/>
      <c r="VIL24" s="84"/>
      <c r="VIM24" s="84"/>
      <c r="VIN24" s="84"/>
      <c r="VIO24" s="84"/>
      <c r="VIP24" s="84"/>
      <c r="VIQ24" s="84"/>
      <c r="VIR24" s="84"/>
      <c r="VIS24" s="84"/>
      <c r="VIT24" s="84"/>
      <c r="VIU24" s="84"/>
      <c r="VIV24" s="84"/>
      <c r="VIW24" s="84"/>
      <c r="VIX24" s="84"/>
      <c r="VIY24" s="84"/>
      <c r="VIZ24" s="84"/>
      <c r="VJA24" s="84"/>
      <c r="VJB24" s="84"/>
      <c r="VJC24" s="84"/>
      <c r="VJD24" s="84"/>
      <c r="VJE24" s="84"/>
      <c r="VJF24" s="84"/>
      <c r="VJG24" s="84"/>
      <c r="VJH24" s="84"/>
      <c r="VJI24" s="84"/>
      <c r="VJJ24" s="84"/>
      <c r="VJK24" s="84"/>
      <c r="VJL24" s="84"/>
      <c r="VJM24" s="84"/>
      <c r="VJN24" s="84"/>
      <c r="VJO24" s="84"/>
      <c r="VJP24" s="84"/>
      <c r="VJQ24" s="84"/>
      <c r="VJR24" s="84"/>
      <c r="VJS24" s="84"/>
      <c r="VJT24" s="84"/>
      <c r="VJU24" s="84"/>
      <c r="VJV24" s="84"/>
      <c r="VJW24" s="84"/>
      <c r="VJX24" s="84"/>
      <c r="VJY24" s="84"/>
      <c r="VJZ24" s="84"/>
      <c r="VKA24" s="84"/>
      <c r="VKB24" s="84"/>
      <c r="VKC24" s="84"/>
      <c r="VKD24" s="84"/>
      <c r="VKE24" s="84"/>
      <c r="VKF24" s="84"/>
      <c r="VKG24" s="84"/>
      <c r="VKH24" s="84"/>
      <c r="VKI24" s="84"/>
      <c r="VKJ24" s="84"/>
      <c r="VKK24" s="84"/>
      <c r="VKL24" s="84"/>
      <c r="VKM24" s="84"/>
      <c r="VKN24" s="84"/>
      <c r="VKO24" s="84"/>
      <c r="VKP24" s="84"/>
      <c r="VKQ24" s="84"/>
      <c r="VKR24" s="84"/>
      <c r="VKS24" s="84"/>
      <c r="VKT24" s="84"/>
      <c r="VKU24" s="84"/>
      <c r="VKV24" s="84"/>
      <c r="VKW24" s="84"/>
      <c r="VKX24" s="84"/>
      <c r="VKY24" s="84"/>
      <c r="VKZ24" s="84"/>
      <c r="VLA24" s="84"/>
      <c r="VLB24" s="84"/>
      <c r="VLC24" s="84"/>
      <c r="VLD24" s="84"/>
      <c r="VLE24" s="84"/>
      <c r="VLF24" s="84"/>
      <c r="VLG24" s="84"/>
      <c r="VLH24" s="84"/>
      <c r="VLI24" s="84"/>
      <c r="VLJ24" s="84"/>
      <c r="VLK24" s="84"/>
      <c r="VLL24" s="84"/>
      <c r="VLM24" s="84"/>
      <c r="VLN24" s="84"/>
      <c r="VLO24" s="84"/>
      <c r="VLP24" s="84"/>
      <c r="VLQ24" s="84"/>
      <c r="VLR24" s="84"/>
      <c r="VLS24" s="84"/>
      <c r="VLT24" s="84"/>
      <c r="VLU24" s="84"/>
      <c r="VLV24" s="84"/>
      <c r="VLW24" s="84"/>
      <c r="VLX24" s="84"/>
      <c r="VLY24" s="84"/>
      <c r="VLZ24" s="84"/>
      <c r="VMA24" s="84"/>
      <c r="VMB24" s="84"/>
      <c r="VMC24" s="84"/>
      <c r="VMD24" s="84"/>
      <c r="VME24" s="84"/>
      <c r="VMF24" s="84"/>
      <c r="VMG24" s="84"/>
      <c r="VMH24" s="84"/>
      <c r="VMI24" s="84"/>
      <c r="VMJ24" s="84"/>
      <c r="VMK24" s="84"/>
      <c r="VML24" s="84"/>
      <c r="VMM24" s="84"/>
      <c r="VMN24" s="84"/>
      <c r="VMO24" s="84"/>
      <c r="VMP24" s="84"/>
      <c r="VMQ24" s="84"/>
      <c r="VMR24" s="84"/>
      <c r="VMS24" s="84"/>
      <c r="VMT24" s="84"/>
      <c r="VMU24" s="84"/>
      <c r="VMV24" s="84"/>
      <c r="VMW24" s="84"/>
      <c r="VMX24" s="84"/>
      <c r="VMY24" s="84"/>
      <c r="VMZ24" s="84"/>
      <c r="VNA24" s="84"/>
      <c r="VNB24" s="84"/>
      <c r="VNC24" s="84"/>
      <c r="VND24" s="84"/>
      <c r="VNE24" s="84"/>
      <c r="VNF24" s="84"/>
      <c r="VNG24" s="84"/>
      <c r="VNH24" s="84"/>
      <c r="VNI24" s="84"/>
      <c r="VNJ24" s="84"/>
      <c r="VNK24" s="84"/>
      <c r="VNL24" s="84"/>
      <c r="VNM24" s="84"/>
      <c r="VNN24" s="84"/>
      <c r="VNO24" s="84"/>
      <c r="VNP24" s="84"/>
      <c r="VNQ24" s="84"/>
      <c r="VNR24" s="84"/>
      <c r="VNS24" s="84"/>
      <c r="VNT24" s="84"/>
      <c r="VNU24" s="84"/>
      <c r="VNV24" s="84"/>
      <c r="VNW24" s="84"/>
      <c r="VNX24" s="84"/>
      <c r="VNY24" s="84"/>
      <c r="VNZ24" s="84"/>
      <c r="VOA24" s="84"/>
      <c r="VOB24" s="84"/>
      <c r="VOC24" s="84"/>
      <c r="VOD24" s="84"/>
      <c r="VOE24" s="84"/>
      <c r="VOF24" s="84"/>
      <c r="VOG24" s="84"/>
      <c r="VOH24" s="84"/>
      <c r="VOI24" s="84"/>
      <c r="VOJ24" s="84"/>
      <c r="VOK24" s="84"/>
      <c r="VOL24" s="84"/>
      <c r="VOM24" s="84"/>
      <c r="VON24" s="84"/>
      <c r="VOO24" s="84"/>
      <c r="VOP24" s="84"/>
      <c r="VOQ24" s="84"/>
      <c r="VOR24" s="84"/>
      <c r="VOS24" s="84"/>
      <c r="VOT24" s="84"/>
      <c r="VOU24" s="84"/>
      <c r="VOV24" s="84"/>
      <c r="VOW24" s="84"/>
      <c r="VOX24" s="84"/>
      <c r="VOY24" s="84"/>
      <c r="VOZ24" s="84"/>
      <c r="VPA24" s="84"/>
      <c r="VPB24" s="84"/>
      <c r="VPC24" s="84"/>
      <c r="VPD24" s="84"/>
      <c r="VPE24" s="84"/>
      <c r="VPF24" s="84"/>
      <c r="VPG24" s="84"/>
      <c r="VPH24" s="84"/>
      <c r="VPI24" s="84"/>
      <c r="VPJ24" s="84"/>
      <c r="VPK24" s="84"/>
      <c r="VPL24" s="84"/>
      <c r="VPM24" s="84"/>
      <c r="VPN24" s="84"/>
      <c r="VPO24" s="84"/>
      <c r="VPP24" s="84"/>
      <c r="VPQ24" s="84"/>
      <c r="VPR24" s="84"/>
      <c r="VPS24" s="84"/>
      <c r="VPT24" s="84"/>
      <c r="VPU24" s="84"/>
      <c r="VPV24" s="84"/>
      <c r="VPW24" s="84"/>
      <c r="VPX24" s="84"/>
      <c r="VPY24" s="84"/>
      <c r="VPZ24" s="84"/>
      <c r="VQA24" s="84"/>
      <c r="VQB24" s="84"/>
      <c r="VQC24" s="84"/>
      <c r="VQD24" s="84"/>
      <c r="VQE24" s="84"/>
      <c r="VQF24" s="84"/>
      <c r="VQG24" s="84"/>
      <c r="VQH24" s="84"/>
      <c r="VQI24" s="84"/>
      <c r="VQJ24" s="84"/>
      <c r="VQK24" s="84"/>
      <c r="VQL24" s="84"/>
      <c r="VQM24" s="84"/>
      <c r="VQN24" s="84"/>
      <c r="VQO24" s="84"/>
      <c r="VQP24" s="84"/>
      <c r="VQQ24" s="84"/>
      <c r="VQR24" s="84"/>
      <c r="VQS24" s="84"/>
      <c r="VQT24" s="84"/>
      <c r="VQU24" s="84"/>
      <c r="VQV24" s="84"/>
      <c r="VQW24" s="84"/>
      <c r="VQX24" s="84"/>
      <c r="VQY24" s="84"/>
      <c r="VQZ24" s="84"/>
      <c r="VRA24" s="84"/>
      <c r="VRB24" s="84"/>
      <c r="VRC24" s="84"/>
      <c r="VRD24" s="84"/>
      <c r="VRE24" s="84"/>
      <c r="VRF24" s="84"/>
      <c r="VRG24" s="84"/>
      <c r="VRH24" s="84"/>
      <c r="VRI24" s="84"/>
      <c r="VRJ24" s="84"/>
      <c r="VRK24" s="84"/>
      <c r="VRL24" s="84"/>
      <c r="VRM24" s="84"/>
      <c r="VRN24" s="84"/>
      <c r="VRO24" s="84"/>
      <c r="VRP24" s="84"/>
      <c r="VRQ24" s="84"/>
      <c r="VRR24" s="84"/>
      <c r="VRS24" s="84"/>
      <c r="VRT24" s="84"/>
      <c r="VRU24" s="84"/>
      <c r="VRV24" s="84"/>
      <c r="VRW24" s="84"/>
      <c r="VRX24" s="84"/>
      <c r="VRY24" s="84"/>
      <c r="VRZ24" s="84"/>
      <c r="VSA24" s="84"/>
      <c r="VSB24" s="84"/>
      <c r="VSC24" s="84"/>
      <c r="VSD24" s="84"/>
      <c r="VSE24" s="84"/>
      <c r="VSF24" s="84"/>
      <c r="VSG24" s="84"/>
      <c r="VSH24" s="84"/>
      <c r="VSI24" s="84"/>
      <c r="VSJ24" s="84"/>
      <c r="VSK24" s="84"/>
      <c r="VSL24" s="84"/>
      <c r="VSM24" s="84"/>
      <c r="VSN24" s="84"/>
      <c r="VSO24" s="84"/>
      <c r="VSP24" s="84"/>
      <c r="VSQ24" s="84"/>
      <c r="VSR24" s="84"/>
      <c r="VSS24" s="84"/>
      <c r="VST24" s="84"/>
      <c r="VSU24" s="84"/>
      <c r="VSV24" s="84"/>
      <c r="VSW24" s="84"/>
      <c r="VSX24" s="84"/>
      <c r="VSY24" s="84"/>
      <c r="VSZ24" s="84"/>
      <c r="VTA24" s="84"/>
      <c r="VTB24" s="84"/>
      <c r="VTC24" s="84"/>
      <c r="VTD24" s="84"/>
      <c r="VTE24" s="84"/>
      <c r="VTF24" s="84"/>
      <c r="VTG24" s="84"/>
      <c r="VTH24" s="84"/>
      <c r="VTI24" s="84"/>
      <c r="VTJ24" s="84"/>
      <c r="VTK24" s="84"/>
      <c r="VTL24" s="84"/>
      <c r="VTM24" s="84"/>
      <c r="VTN24" s="84"/>
      <c r="VTO24" s="84"/>
      <c r="VTP24" s="84"/>
      <c r="VTQ24" s="84"/>
      <c r="VTR24" s="84"/>
      <c r="VTS24" s="84"/>
      <c r="VTT24" s="84"/>
      <c r="VTU24" s="84"/>
      <c r="VTV24" s="84"/>
      <c r="VTW24" s="84"/>
      <c r="VTX24" s="84"/>
      <c r="VTY24" s="84"/>
      <c r="VTZ24" s="84"/>
      <c r="VUA24" s="84"/>
      <c r="VUB24" s="84"/>
      <c r="VUC24" s="84"/>
      <c r="VUD24" s="84"/>
      <c r="VUE24" s="84"/>
      <c r="VUF24" s="84"/>
      <c r="VUG24" s="84"/>
      <c r="VUH24" s="84"/>
      <c r="VUI24" s="84"/>
      <c r="VUJ24" s="84"/>
      <c r="VUK24" s="84"/>
      <c r="VUL24" s="84"/>
      <c r="VUM24" s="84"/>
      <c r="VUN24" s="84"/>
      <c r="VUO24" s="84"/>
      <c r="VUP24" s="84"/>
      <c r="VUQ24" s="84"/>
      <c r="VUR24" s="84"/>
      <c r="VUS24" s="84"/>
      <c r="VUT24" s="84"/>
      <c r="VUU24" s="84"/>
      <c r="VUV24" s="84"/>
      <c r="VUW24" s="84"/>
      <c r="VUX24" s="84"/>
      <c r="VUY24" s="84"/>
      <c r="VUZ24" s="84"/>
      <c r="VVA24" s="84"/>
      <c r="VVB24" s="84"/>
      <c r="VVC24" s="84"/>
      <c r="VVD24" s="84"/>
      <c r="VVE24" s="84"/>
      <c r="VVF24" s="84"/>
      <c r="VVG24" s="84"/>
      <c r="VVH24" s="84"/>
      <c r="VVI24" s="84"/>
      <c r="VVJ24" s="84"/>
      <c r="VVK24" s="84"/>
      <c r="VVL24" s="84"/>
      <c r="VVM24" s="84"/>
      <c r="VVN24" s="84"/>
      <c r="VVO24" s="84"/>
      <c r="VVP24" s="84"/>
      <c r="VVQ24" s="84"/>
      <c r="VVR24" s="84"/>
      <c r="VVS24" s="84"/>
      <c r="VVT24" s="84"/>
      <c r="VVU24" s="84"/>
      <c r="VVV24" s="84"/>
      <c r="VVW24" s="84"/>
      <c r="VVX24" s="84"/>
      <c r="VVY24" s="84"/>
      <c r="VVZ24" s="84"/>
      <c r="VWA24" s="84"/>
      <c r="VWB24" s="84"/>
      <c r="VWC24" s="84"/>
      <c r="VWD24" s="84"/>
      <c r="VWE24" s="84"/>
      <c r="VWF24" s="84"/>
      <c r="VWG24" s="84"/>
      <c r="VWH24" s="84"/>
      <c r="VWI24" s="84"/>
      <c r="VWJ24" s="84"/>
      <c r="VWK24" s="84"/>
      <c r="VWL24" s="84"/>
      <c r="VWM24" s="84"/>
      <c r="VWN24" s="84"/>
      <c r="VWO24" s="84"/>
      <c r="VWP24" s="84"/>
      <c r="VWQ24" s="84"/>
      <c r="VWR24" s="84"/>
      <c r="VWS24" s="84"/>
      <c r="VWT24" s="84"/>
      <c r="VWU24" s="84"/>
      <c r="VWV24" s="84"/>
      <c r="VWW24" s="84"/>
      <c r="VWX24" s="84"/>
      <c r="VWY24" s="84"/>
      <c r="VWZ24" s="84"/>
      <c r="VXA24" s="84"/>
      <c r="VXB24" s="84"/>
      <c r="VXC24" s="84"/>
      <c r="VXD24" s="84"/>
      <c r="VXE24" s="84"/>
      <c r="VXF24" s="84"/>
      <c r="VXG24" s="84"/>
      <c r="VXH24" s="84"/>
      <c r="VXI24" s="84"/>
      <c r="VXJ24" s="84"/>
      <c r="VXK24" s="84"/>
      <c r="VXL24" s="84"/>
      <c r="VXM24" s="84"/>
      <c r="VXN24" s="84"/>
      <c r="VXO24" s="84"/>
      <c r="VXP24" s="84"/>
      <c r="VXQ24" s="84"/>
      <c r="VXR24" s="84"/>
      <c r="VXS24" s="84"/>
      <c r="VXT24" s="84"/>
      <c r="VXU24" s="84"/>
      <c r="VXV24" s="84"/>
      <c r="VXW24" s="84"/>
      <c r="VXX24" s="84"/>
      <c r="VXY24" s="84"/>
      <c r="VXZ24" s="84"/>
      <c r="VYA24" s="84"/>
      <c r="VYB24" s="84"/>
      <c r="VYC24" s="84"/>
      <c r="VYD24" s="84"/>
      <c r="VYE24" s="84"/>
      <c r="VYF24" s="84"/>
      <c r="VYG24" s="84"/>
      <c r="VYH24" s="84"/>
      <c r="VYI24" s="84"/>
      <c r="VYJ24" s="84"/>
      <c r="VYK24" s="84"/>
      <c r="VYL24" s="84"/>
      <c r="VYM24" s="84"/>
      <c r="VYN24" s="84"/>
      <c r="VYO24" s="84"/>
      <c r="VYP24" s="84"/>
      <c r="VYQ24" s="84"/>
      <c r="VYR24" s="84"/>
      <c r="VYS24" s="84"/>
      <c r="VYT24" s="84"/>
      <c r="VYU24" s="84"/>
      <c r="VYV24" s="84"/>
      <c r="VYW24" s="84"/>
      <c r="VYX24" s="84"/>
      <c r="VYY24" s="84"/>
      <c r="VYZ24" s="84"/>
      <c r="VZA24" s="84"/>
      <c r="VZB24" s="84"/>
      <c r="VZC24" s="84"/>
      <c r="VZD24" s="84"/>
      <c r="VZE24" s="84"/>
      <c r="VZF24" s="84"/>
      <c r="VZG24" s="84"/>
      <c r="VZH24" s="84"/>
      <c r="VZI24" s="84"/>
      <c r="VZJ24" s="84"/>
      <c r="VZK24" s="84"/>
      <c r="VZL24" s="84"/>
      <c r="VZM24" s="84"/>
      <c r="VZN24" s="84"/>
      <c r="VZO24" s="84"/>
      <c r="VZP24" s="84"/>
      <c r="VZQ24" s="84"/>
      <c r="VZR24" s="84"/>
      <c r="VZS24" s="84"/>
      <c r="VZT24" s="84"/>
      <c r="VZU24" s="84"/>
      <c r="VZV24" s="84"/>
      <c r="VZW24" s="84"/>
      <c r="VZX24" s="84"/>
      <c r="VZY24" s="84"/>
      <c r="VZZ24" s="84"/>
      <c r="WAA24" s="84"/>
      <c r="WAB24" s="84"/>
      <c r="WAC24" s="84"/>
      <c r="WAD24" s="84"/>
      <c r="WAE24" s="84"/>
      <c r="WAF24" s="84"/>
      <c r="WAG24" s="84"/>
      <c r="WAH24" s="84"/>
      <c r="WAI24" s="84"/>
      <c r="WAJ24" s="84"/>
      <c r="WAK24" s="84"/>
      <c r="WAL24" s="84"/>
      <c r="WAM24" s="84"/>
      <c r="WAN24" s="84"/>
      <c r="WAO24" s="84"/>
      <c r="WAP24" s="84"/>
      <c r="WAQ24" s="84"/>
      <c r="WAR24" s="84"/>
      <c r="WAS24" s="84"/>
      <c r="WAT24" s="84"/>
      <c r="WAU24" s="84"/>
      <c r="WAV24" s="84"/>
      <c r="WAW24" s="84"/>
      <c r="WAX24" s="84"/>
      <c r="WAY24" s="84"/>
      <c r="WAZ24" s="84"/>
      <c r="WBA24" s="84"/>
      <c r="WBB24" s="84"/>
      <c r="WBC24" s="84"/>
      <c r="WBD24" s="84"/>
      <c r="WBE24" s="84"/>
      <c r="WBF24" s="84"/>
      <c r="WBG24" s="84"/>
      <c r="WBH24" s="84"/>
      <c r="WBI24" s="84"/>
      <c r="WBJ24" s="84"/>
      <c r="WBK24" s="84"/>
      <c r="WBL24" s="84"/>
      <c r="WBM24" s="84"/>
      <c r="WBN24" s="84"/>
      <c r="WBO24" s="84"/>
      <c r="WBP24" s="84"/>
      <c r="WBQ24" s="84"/>
      <c r="WBR24" s="84"/>
      <c r="WBS24" s="84"/>
      <c r="WBT24" s="84"/>
      <c r="WBU24" s="84"/>
      <c r="WBV24" s="84"/>
      <c r="WBW24" s="84"/>
      <c r="WBX24" s="84"/>
      <c r="WBY24" s="84"/>
      <c r="WBZ24" s="84"/>
      <c r="WCA24" s="84"/>
      <c r="WCB24" s="84"/>
      <c r="WCC24" s="84"/>
      <c r="WCD24" s="84"/>
      <c r="WCE24" s="84"/>
      <c r="WCF24" s="84"/>
      <c r="WCG24" s="84"/>
      <c r="WCH24" s="84"/>
      <c r="WCI24" s="84"/>
      <c r="WCJ24" s="84"/>
      <c r="WCK24" s="84"/>
      <c r="WCL24" s="84"/>
      <c r="WCM24" s="84"/>
      <c r="WCN24" s="84"/>
      <c r="WCO24" s="84"/>
      <c r="WCP24" s="84"/>
      <c r="WCQ24" s="84"/>
      <c r="WCR24" s="84"/>
      <c r="WCS24" s="84"/>
      <c r="WCT24" s="84"/>
      <c r="WCU24" s="84"/>
      <c r="WCV24" s="84"/>
      <c r="WCW24" s="84"/>
      <c r="WCX24" s="84"/>
      <c r="WCY24" s="84"/>
      <c r="WCZ24" s="84"/>
      <c r="WDA24" s="84"/>
      <c r="WDB24" s="84"/>
      <c r="WDC24" s="84"/>
      <c r="WDD24" s="84"/>
      <c r="WDE24" s="84"/>
      <c r="WDF24" s="84"/>
      <c r="WDG24" s="84"/>
      <c r="WDH24" s="84"/>
      <c r="WDI24" s="84"/>
      <c r="WDJ24" s="84"/>
      <c r="WDK24" s="84"/>
      <c r="WDL24" s="84"/>
      <c r="WDM24" s="84"/>
      <c r="WDN24" s="84"/>
      <c r="WDO24" s="84"/>
      <c r="WDP24" s="84"/>
      <c r="WDQ24" s="84"/>
      <c r="WDR24" s="84"/>
      <c r="WDS24" s="84"/>
      <c r="WDT24" s="84"/>
      <c r="WDU24" s="84"/>
      <c r="WDV24" s="84"/>
      <c r="WDW24" s="84"/>
      <c r="WDX24" s="84"/>
      <c r="WDY24" s="84"/>
      <c r="WDZ24" s="84"/>
      <c r="WEA24" s="84"/>
      <c r="WEB24" s="84"/>
      <c r="WEC24" s="84"/>
      <c r="WED24" s="84"/>
      <c r="WEE24" s="84"/>
      <c r="WEF24" s="84"/>
      <c r="WEG24" s="84"/>
      <c r="WEH24" s="84"/>
      <c r="WEI24" s="84"/>
      <c r="WEJ24" s="84"/>
      <c r="WEK24" s="84"/>
      <c r="WEL24" s="84"/>
      <c r="WEM24" s="84"/>
      <c r="WEN24" s="84"/>
      <c r="WEO24" s="84"/>
      <c r="WEP24" s="84"/>
      <c r="WEQ24" s="84"/>
      <c r="WER24" s="84"/>
      <c r="WES24" s="84"/>
      <c r="WET24" s="84"/>
      <c r="WEU24" s="84"/>
      <c r="WEV24" s="84"/>
      <c r="WEW24" s="84"/>
      <c r="WEX24" s="84"/>
      <c r="WEY24" s="84"/>
      <c r="WEZ24" s="84"/>
      <c r="WFA24" s="84"/>
      <c r="WFB24" s="84"/>
      <c r="WFC24" s="84"/>
      <c r="WFD24" s="84"/>
      <c r="WFE24" s="84"/>
      <c r="WFF24" s="84"/>
      <c r="WFG24" s="84"/>
      <c r="WFH24" s="84"/>
      <c r="WFI24" s="84"/>
      <c r="WFJ24" s="84"/>
      <c r="WFK24" s="84"/>
      <c r="WFL24" s="84"/>
      <c r="WFM24" s="84"/>
      <c r="WFN24" s="84"/>
      <c r="WFO24" s="84"/>
      <c r="WFP24" s="84"/>
      <c r="WFQ24" s="84"/>
      <c r="WFR24" s="84"/>
      <c r="WFS24" s="84"/>
      <c r="WFT24" s="84"/>
      <c r="WFU24" s="84"/>
      <c r="WFV24" s="84"/>
      <c r="WFW24" s="84"/>
      <c r="WFX24" s="84"/>
      <c r="WFY24" s="84"/>
      <c r="WFZ24" s="84"/>
      <c r="WGA24" s="84"/>
      <c r="WGB24" s="84"/>
      <c r="WGC24" s="84"/>
      <c r="WGD24" s="84"/>
      <c r="WGE24" s="84"/>
      <c r="WGF24" s="84"/>
      <c r="WGG24" s="84"/>
      <c r="WGH24" s="84"/>
      <c r="WGI24" s="84"/>
      <c r="WGJ24" s="84"/>
      <c r="WGK24" s="84"/>
      <c r="WGL24" s="84"/>
      <c r="WGM24" s="84"/>
      <c r="WGN24" s="84"/>
      <c r="WGO24" s="84"/>
      <c r="WGP24" s="84"/>
      <c r="WGQ24" s="84"/>
      <c r="WGR24" s="84"/>
      <c r="WGS24" s="84"/>
      <c r="WGT24" s="84"/>
      <c r="WGU24" s="84"/>
      <c r="WGV24" s="84"/>
      <c r="WGW24" s="84"/>
      <c r="WGX24" s="84"/>
      <c r="WGY24" s="84"/>
      <c r="WGZ24" s="84"/>
      <c r="WHA24" s="84"/>
      <c r="WHB24" s="84"/>
      <c r="WHC24" s="84"/>
      <c r="WHD24" s="84"/>
      <c r="WHE24" s="84"/>
      <c r="WHF24" s="84"/>
      <c r="WHG24" s="84"/>
      <c r="WHH24" s="84"/>
      <c r="WHI24" s="84"/>
      <c r="WHJ24" s="84"/>
      <c r="WHK24" s="84"/>
      <c r="WHL24" s="84"/>
      <c r="WHM24" s="84"/>
      <c r="WHN24" s="84"/>
      <c r="WHO24" s="84"/>
      <c r="WHP24" s="84"/>
      <c r="WHQ24" s="84"/>
      <c r="WHR24" s="84"/>
      <c r="WHS24" s="84"/>
      <c r="WHT24" s="84"/>
      <c r="WHU24" s="84"/>
      <c r="WHV24" s="84"/>
      <c r="WHW24" s="84"/>
      <c r="WHX24" s="84"/>
      <c r="WHY24" s="84"/>
      <c r="WHZ24" s="84"/>
      <c r="WIA24" s="84"/>
      <c r="WIB24" s="84"/>
      <c r="WIC24" s="84"/>
      <c r="WID24" s="84"/>
      <c r="WIE24" s="84"/>
      <c r="WIF24" s="84"/>
      <c r="WIG24" s="84"/>
      <c r="WIH24" s="84"/>
      <c r="WII24" s="84"/>
      <c r="WIJ24" s="84"/>
      <c r="WIK24" s="84"/>
      <c r="WIL24" s="84"/>
      <c r="WIM24" s="84"/>
      <c r="WIN24" s="84"/>
      <c r="WIO24" s="84"/>
      <c r="WIP24" s="84"/>
      <c r="WIQ24" s="84"/>
      <c r="WIR24" s="84"/>
      <c r="WIS24" s="84"/>
      <c r="WIT24" s="84"/>
      <c r="WIU24" s="84"/>
      <c r="WIV24" s="84"/>
      <c r="WIW24" s="84"/>
      <c r="WIX24" s="84"/>
      <c r="WIY24" s="84"/>
      <c r="WIZ24" s="84"/>
      <c r="WJA24" s="84"/>
      <c r="WJB24" s="84"/>
      <c r="WJC24" s="84"/>
      <c r="WJD24" s="84"/>
      <c r="WJE24" s="84"/>
      <c r="WJF24" s="84"/>
      <c r="WJG24" s="84"/>
      <c r="WJH24" s="84"/>
      <c r="WJI24" s="84"/>
      <c r="WJJ24" s="84"/>
      <c r="WJK24" s="84"/>
      <c r="WJL24" s="84"/>
      <c r="WJM24" s="84"/>
      <c r="WJN24" s="84"/>
      <c r="WJO24" s="84"/>
      <c r="WJP24" s="84"/>
      <c r="WJQ24" s="84"/>
      <c r="WJR24" s="84"/>
      <c r="WJS24" s="84"/>
      <c r="WJT24" s="84"/>
      <c r="WJU24" s="84"/>
      <c r="WJV24" s="84"/>
      <c r="WJW24" s="84"/>
      <c r="WJX24" s="84"/>
      <c r="WJY24" s="84"/>
      <c r="WJZ24" s="84"/>
      <c r="WKA24" s="84"/>
      <c r="WKB24" s="84"/>
      <c r="WKC24" s="84"/>
      <c r="WKD24" s="84"/>
      <c r="WKE24" s="84"/>
      <c r="WKF24" s="84"/>
      <c r="WKG24" s="84"/>
      <c r="WKH24" s="84"/>
      <c r="WKI24" s="84"/>
      <c r="WKJ24" s="84"/>
      <c r="WKK24" s="84"/>
      <c r="WKL24" s="84"/>
      <c r="WKM24" s="84"/>
      <c r="WKN24" s="84"/>
      <c r="WKO24" s="84"/>
      <c r="WKP24" s="84"/>
      <c r="WKQ24" s="84"/>
      <c r="WKR24" s="84"/>
      <c r="WKS24" s="84"/>
      <c r="WKT24" s="84"/>
      <c r="WKU24" s="84"/>
      <c r="WKV24" s="84"/>
      <c r="WKW24" s="84"/>
      <c r="WKX24" s="84"/>
      <c r="WKY24" s="84"/>
      <c r="WKZ24" s="84"/>
      <c r="WLA24" s="84"/>
      <c r="WLB24" s="84"/>
      <c r="WLC24" s="84"/>
      <c r="WLD24" s="84"/>
      <c r="WLE24" s="84"/>
      <c r="WLF24" s="84"/>
      <c r="WLG24" s="84"/>
      <c r="WLH24" s="84"/>
      <c r="WLI24" s="84"/>
      <c r="WLJ24" s="84"/>
      <c r="WLK24" s="84"/>
      <c r="WLL24" s="84"/>
      <c r="WLM24" s="84"/>
      <c r="WLN24" s="84"/>
      <c r="WLO24" s="84"/>
      <c r="WLP24" s="84"/>
      <c r="WLQ24" s="84"/>
      <c r="WLR24" s="84"/>
      <c r="WLS24" s="84"/>
      <c r="WLT24" s="84"/>
      <c r="WLU24" s="84"/>
      <c r="WLV24" s="84"/>
      <c r="WLW24" s="84"/>
      <c r="WLX24" s="84"/>
      <c r="WLY24" s="84"/>
      <c r="WLZ24" s="84"/>
      <c r="WMA24" s="84"/>
      <c r="WMB24" s="84"/>
      <c r="WMC24" s="84"/>
      <c r="WMD24" s="84"/>
      <c r="WME24" s="84"/>
      <c r="WMF24" s="84"/>
      <c r="WMG24" s="84"/>
      <c r="WMH24" s="84"/>
      <c r="WMI24" s="84"/>
      <c r="WMJ24" s="84"/>
      <c r="WMK24" s="84"/>
      <c r="WML24" s="84"/>
      <c r="WMM24" s="84"/>
      <c r="WMN24" s="84"/>
      <c r="WMO24" s="84"/>
      <c r="WMP24" s="84"/>
      <c r="WMQ24" s="84"/>
      <c r="WMR24" s="84"/>
      <c r="WMS24" s="84"/>
      <c r="WMT24" s="84"/>
      <c r="WMU24" s="84"/>
      <c r="WMV24" s="84"/>
      <c r="WMW24" s="84"/>
      <c r="WMX24" s="84"/>
      <c r="WMY24" s="84"/>
      <c r="WMZ24" s="84"/>
      <c r="WNA24" s="84"/>
      <c r="WNB24" s="84"/>
      <c r="WNC24" s="84"/>
      <c r="WND24" s="84"/>
      <c r="WNE24" s="84"/>
      <c r="WNF24" s="84"/>
      <c r="WNG24" s="84"/>
      <c r="WNH24" s="84"/>
      <c r="WNI24" s="84"/>
      <c r="WNJ24" s="84"/>
      <c r="WNK24" s="84"/>
      <c r="WNL24" s="84"/>
      <c r="WNM24" s="84"/>
      <c r="WNN24" s="84"/>
      <c r="WNO24" s="84"/>
      <c r="WNP24" s="84"/>
      <c r="WNQ24" s="84"/>
      <c r="WNR24" s="84"/>
      <c r="WNS24" s="84"/>
      <c r="WNT24" s="84"/>
      <c r="WNU24" s="84"/>
      <c r="WNV24" s="84"/>
      <c r="WNW24" s="84"/>
      <c r="WNX24" s="84"/>
      <c r="WNY24" s="84"/>
      <c r="WNZ24" s="84"/>
      <c r="WOA24" s="84"/>
      <c r="WOB24" s="84"/>
      <c r="WOC24" s="84"/>
      <c r="WOD24" s="84"/>
      <c r="WOE24" s="84"/>
      <c r="WOF24" s="84"/>
      <c r="WOG24" s="84"/>
      <c r="WOH24" s="84"/>
      <c r="WOI24" s="84"/>
      <c r="WOJ24" s="84"/>
      <c r="WOK24" s="84"/>
      <c r="WOL24" s="84"/>
      <c r="WOM24" s="84"/>
      <c r="WON24" s="84"/>
      <c r="WOO24" s="84"/>
      <c r="WOP24" s="84"/>
      <c r="WOQ24" s="84"/>
      <c r="WOR24" s="84"/>
      <c r="WOS24" s="84"/>
      <c r="WOT24" s="84"/>
      <c r="WOU24" s="84"/>
      <c r="WOV24" s="84"/>
      <c r="WOW24" s="84"/>
      <c r="WOX24" s="84"/>
      <c r="WOY24" s="84"/>
      <c r="WOZ24" s="84"/>
      <c r="WPA24" s="84"/>
      <c r="WPB24" s="84"/>
      <c r="WPC24" s="84"/>
      <c r="WPD24" s="84"/>
      <c r="WPE24" s="84"/>
      <c r="WPF24" s="84"/>
      <c r="WPG24" s="84"/>
      <c r="WPH24" s="84"/>
      <c r="WPI24" s="84"/>
      <c r="WPJ24" s="84"/>
      <c r="WPK24" s="84"/>
      <c r="WPL24" s="84"/>
      <c r="WPM24" s="84"/>
      <c r="WPN24" s="84"/>
      <c r="WPO24" s="84"/>
      <c r="WPP24" s="84"/>
      <c r="WPQ24" s="84"/>
      <c r="WPR24" s="84"/>
      <c r="WPS24" s="84"/>
      <c r="WPT24" s="84"/>
      <c r="WPU24" s="84"/>
      <c r="WPV24" s="84"/>
      <c r="WPW24" s="84"/>
      <c r="WPX24" s="84"/>
      <c r="WPY24" s="84"/>
      <c r="WPZ24" s="84"/>
      <c r="WQA24" s="84"/>
      <c r="WQB24" s="84"/>
      <c r="WQC24" s="84"/>
      <c r="WQD24" s="84"/>
      <c r="WQE24" s="84"/>
      <c r="WQF24" s="84"/>
      <c r="WQG24" s="84"/>
      <c r="WQH24" s="84"/>
      <c r="WQI24" s="84"/>
      <c r="WQJ24" s="84"/>
      <c r="WQK24" s="84"/>
      <c r="WQL24" s="84"/>
      <c r="WQM24" s="84"/>
      <c r="WQN24" s="84"/>
      <c r="WQO24" s="84"/>
      <c r="WQP24" s="84"/>
      <c r="WQQ24" s="84"/>
      <c r="WQR24" s="84"/>
      <c r="WQS24" s="84"/>
      <c r="WQT24" s="84"/>
      <c r="WQU24" s="84"/>
      <c r="WQV24" s="84"/>
      <c r="WQW24" s="84"/>
      <c r="WQX24" s="84"/>
      <c r="WQY24" s="84"/>
      <c r="WQZ24" s="84"/>
      <c r="WRA24" s="84"/>
      <c r="WRB24" s="84"/>
      <c r="WRC24" s="84"/>
      <c r="WRD24" s="84"/>
      <c r="WRE24" s="84"/>
      <c r="WRF24" s="84"/>
      <c r="WRG24" s="84"/>
      <c r="WRH24" s="84"/>
      <c r="WRI24" s="84"/>
      <c r="WRJ24" s="84"/>
      <c r="WRK24" s="84"/>
      <c r="WRL24" s="84"/>
      <c r="WRM24" s="84"/>
      <c r="WRN24" s="84"/>
      <c r="WRO24" s="84"/>
      <c r="WRP24" s="84"/>
      <c r="WRQ24" s="84"/>
      <c r="WRR24" s="84"/>
      <c r="WRS24" s="84"/>
      <c r="WRT24" s="84"/>
      <c r="WRU24" s="84"/>
      <c r="WRV24" s="84"/>
      <c r="WRW24" s="84"/>
      <c r="WRX24" s="84"/>
      <c r="WRY24" s="84"/>
      <c r="WRZ24" s="84"/>
      <c r="WSA24" s="84"/>
      <c r="WSB24" s="84"/>
      <c r="WSC24" s="84"/>
      <c r="WSD24" s="84"/>
      <c r="WSE24" s="84"/>
      <c r="WSF24" s="84"/>
      <c r="WSG24" s="84"/>
      <c r="WSH24" s="84"/>
      <c r="WSI24" s="84"/>
      <c r="WSJ24" s="84"/>
      <c r="WSK24" s="84"/>
      <c r="WSL24" s="84"/>
      <c r="WSM24" s="84"/>
      <c r="WSN24" s="84"/>
      <c r="WSO24" s="84"/>
      <c r="WSP24" s="84"/>
      <c r="WSQ24" s="84"/>
      <c r="WSR24" s="84"/>
      <c r="WSS24" s="84"/>
      <c r="WST24" s="84"/>
      <c r="WSU24" s="84"/>
      <c r="WSV24" s="84"/>
      <c r="WSW24" s="84"/>
      <c r="WSX24" s="84"/>
      <c r="WSY24" s="84"/>
      <c r="WSZ24" s="84"/>
      <c r="WTA24" s="84"/>
      <c r="WTB24" s="84"/>
      <c r="WTC24" s="84"/>
      <c r="WTD24" s="84"/>
      <c r="WTE24" s="84"/>
      <c r="WTF24" s="84"/>
      <c r="WTG24" s="84"/>
      <c r="WTH24" s="84"/>
      <c r="WTI24" s="84"/>
      <c r="WTJ24" s="84"/>
      <c r="WTK24" s="84"/>
      <c r="WTL24" s="84"/>
      <c r="WTM24" s="84"/>
      <c r="WTN24" s="84"/>
      <c r="WTO24" s="84"/>
      <c r="WTP24" s="84"/>
      <c r="WTQ24" s="84"/>
      <c r="WTR24" s="84"/>
      <c r="WTS24" s="84"/>
      <c r="WTT24" s="84"/>
      <c r="WTU24" s="84"/>
      <c r="WTV24" s="84"/>
      <c r="WTW24" s="84"/>
      <c r="WTX24" s="84"/>
      <c r="WTY24" s="84"/>
      <c r="WTZ24" s="84"/>
      <c r="WUA24" s="84"/>
      <c r="WUB24" s="84"/>
      <c r="WUC24" s="84"/>
      <c r="WUD24" s="84"/>
      <c r="WUE24" s="84"/>
      <c r="WUF24" s="84"/>
      <c r="WUG24" s="84"/>
      <c r="WUH24" s="84"/>
      <c r="WUI24" s="84"/>
      <c r="WUJ24" s="84"/>
      <c r="WUK24" s="84"/>
      <c r="WUL24" s="84"/>
      <c r="WUM24" s="84"/>
      <c r="WUN24" s="84"/>
      <c r="WUO24" s="84"/>
      <c r="WUP24" s="84"/>
      <c r="WUQ24" s="84"/>
      <c r="WUR24" s="84"/>
      <c r="WUS24" s="84"/>
      <c r="WUT24" s="84"/>
      <c r="WUU24" s="84"/>
      <c r="WUV24" s="84"/>
      <c r="WUW24" s="84"/>
      <c r="WUX24" s="84"/>
      <c r="WUY24" s="84"/>
      <c r="WUZ24" s="84"/>
      <c r="WVA24" s="84"/>
      <c r="WVB24" s="84"/>
      <c r="WVC24" s="84"/>
      <c r="WVD24" s="84"/>
      <c r="WVE24" s="84"/>
      <c r="WVF24" s="84"/>
      <c r="WVG24" s="84"/>
      <c r="WVH24" s="84"/>
      <c r="WVI24" s="84"/>
      <c r="WVJ24" s="84"/>
      <c r="WVK24" s="84"/>
      <c r="WVL24" s="84"/>
      <c r="WVM24" s="84"/>
      <c r="WVN24" s="84"/>
      <c r="WVO24" s="84"/>
      <c r="WVP24" s="84"/>
      <c r="WVQ24" s="84"/>
      <c r="WVR24" s="84"/>
      <c r="WVS24" s="84"/>
      <c r="WVT24" s="84"/>
      <c r="WVU24" s="84"/>
      <c r="WVV24" s="84"/>
      <c r="WVW24" s="84"/>
      <c r="WVX24" s="84"/>
      <c r="WVY24" s="84"/>
      <c r="WVZ24" s="84"/>
      <c r="WWA24" s="84"/>
      <c r="WWB24" s="84"/>
      <c r="WWC24" s="84"/>
      <c r="WWD24" s="84"/>
      <c r="WWE24" s="84"/>
      <c r="WWF24" s="84"/>
      <c r="WWG24" s="84"/>
      <c r="WWH24" s="84"/>
      <c r="WWI24" s="84"/>
      <c r="WWJ24" s="84"/>
      <c r="WWK24" s="84"/>
      <c r="WWL24" s="84"/>
      <c r="WWM24" s="84"/>
      <c r="WWN24" s="84"/>
      <c r="WWO24" s="84"/>
      <c r="WWP24" s="84"/>
      <c r="WWQ24" s="84"/>
      <c r="WWR24" s="84"/>
      <c r="WWS24" s="84"/>
      <c r="WWT24" s="84"/>
      <c r="WWU24" s="84"/>
      <c r="WWV24" s="84"/>
      <c r="WWW24" s="84"/>
      <c r="WWX24" s="84"/>
      <c r="WWY24" s="84"/>
      <c r="WWZ24" s="84"/>
      <c r="WXA24" s="84"/>
      <c r="WXB24" s="84"/>
      <c r="WXC24" s="84"/>
      <c r="WXD24" s="84"/>
      <c r="WXE24" s="84"/>
      <c r="WXF24" s="84"/>
      <c r="WXG24" s="84"/>
      <c r="WXH24" s="84"/>
      <c r="WXI24" s="84"/>
      <c r="WXJ24" s="84"/>
      <c r="WXK24" s="84"/>
      <c r="WXL24" s="84"/>
      <c r="WXM24" s="84"/>
      <c r="WXN24" s="84"/>
      <c r="WXO24" s="84"/>
      <c r="WXP24" s="84"/>
      <c r="WXQ24" s="84"/>
      <c r="WXR24" s="84"/>
      <c r="WXS24" s="84"/>
      <c r="WXT24" s="84"/>
      <c r="WXU24" s="84"/>
      <c r="WXV24" s="84"/>
      <c r="WXW24" s="84"/>
      <c r="WXX24" s="84"/>
      <c r="WXY24" s="84"/>
      <c r="WXZ24" s="84"/>
      <c r="WYA24" s="84"/>
      <c r="WYB24" s="84"/>
      <c r="WYC24" s="84"/>
      <c r="WYD24" s="84"/>
      <c r="WYE24" s="84"/>
      <c r="WYF24" s="84"/>
      <c r="WYG24" s="84"/>
      <c r="WYH24" s="84"/>
      <c r="WYI24" s="84"/>
      <c r="WYJ24" s="84"/>
      <c r="WYK24" s="84"/>
      <c r="WYL24" s="84"/>
      <c r="WYM24" s="84"/>
      <c r="WYN24" s="84"/>
      <c r="WYO24" s="84"/>
      <c r="WYP24" s="84"/>
      <c r="WYQ24" s="84"/>
      <c r="WYR24" s="84"/>
      <c r="WYS24" s="84"/>
      <c r="WYT24" s="84"/>
      <c r="WYU24" s="84"/>
      <c r="WYV24" s="84"/>
      <c r="WYW24" s="84"/>
      <c r="WYX24" s="84"/>
      <c r="WYY24" s="84"/>
      <c r="WYZ24" s="84"/>
      <c r="WZA24" s="84"/>
      <c r="WZB24" s="84"/>
      <c r="WZC24" s="84"/>
      <c r="WZD24" s="84"/>
      <c r="WZE24" s="84"/>
      <c r="WZF24" s="84"/>
      <c r="WZG24" s="84"/>
      <c r="WZH24" s="84"/>
      <c r="WZI24" s="84"/>
      <c r="WZJ24" s="84"/>
      <c r="WZK24" s="84"/>
      <c r="WZL24" s="84"/>
      <c r="WZM24" s="84"/>
      <c r="WZN24" s="84"/>
      <c r="WZO24" s="84"/>
      <c r="WZP24" s="84"/>
      <c r="WZQ24" s="84"/>
      <c r="WZR24" s="84"/>
      <c r="WZS24" s="84"/>
      <c r="WZT24" s="84"/>
      <c r="WZU24" s="84"/>
      <c r="WZV24" s="84"/>
      <c r="WZW24" s="84"/>
      <c r="WZX24" s="84"/>
      <c r="WZY24" s="84"/>
      <c r="WZZ24" s="84"/>
      <c r="XAA24" s="84"/>
      <c r="XAB24" s="84"/>
      <c r="XAC24" s="84"/>
      <c r="XAD24" s="84"/>
      <c r="XAE24" s="84"/>
      <c r="XAF24" s="84"/>
      <c r="XAG24" s="84"/>
      <c r="XAH24" s="84"/>
      <c r="XAI24" s="84"/>
      <c r="XAJ24" s="84"/>
      <c r="XAK24" s="84"/>
      <c r="XAL24" s="84"/>
      <c r="XAM24" s="84"/>
      <c r="XAN24" s="84"/>
      <c r="XAO24" s="84"/>
      <c r="XAP24" s="84"/>
      <c r="XAQ24" s="84"/>
      <c r="XAR24" s="84"/>
      <c r="XAS24" s="84"/>
      <c r="XAT24" s="84"/>
      <c r="XAU24" s="84"/>
      <c r="XAV24" s="84"/>
      <c r="XAW24" s="84"/>
      <c r="XAX24" s="84"/>
      <c r="XAY24" s="84"/>
      <c r="XAZ24" s="84"/>
      <c r="XBA24" s="84"/>
      <c r="XBB24" s="84"/>
      <c r="XBC24" s="84"/>
      <c r="XBD24" s="84"/>
      <c r="XBE24" s="84"/>
      <c r="XBF24" s="84"/>
      <c r="XBG24" s="84"/>
      <c r="XBH24" s="84"/>
      <c r="XBI24" s="84"/>
      <c r="XBJ24" s="84"/>
      <c r="XBK24" s="84"/>
      <c r="XBL24" s="84"/>
      <c r="XBM24" s="84"/>
      <c r="XBN24" s="84"/>
      <c r="XBO24" s="84"/>
      <c r="XBP24" s="84"/>
      <c r="XBQ24" s="84"/>
      <c r="XBR24" s="84"/>
      <c r="XBS24" s="84"/>
      <c r="XBT24" s="84"/>
      <c r="XBU24" s="84"/>
      <c r="XBV24" s="84"/>
      <c r="XBW24" s="84"/>
      <c r="XBX24" s="84"/>
      <c r="XBY24" s="84"/>
      <c r="XBZ24" s="84"/>
      <c r="XCA24" s="84"/>
      <c r="XCB24" s="84"/>
      <c r="XCC24" s="84"/>
      <c r="XCD24" s="84"/>
      <c r="XCE24" s="84"/>
      <c r="XCF24" s="84"/>
      <c r="XCG24" s="84"/>
      <c r="XCH24" s="84"/>
      <c r="XCI24" s="84"/>
      <c r="XCJ24" s="84"/>
      <c r="XCK24" s="84"/>
      <c r="XCL24" s="84"/>
      <c r="XCM24" s="84"/>
      <c r="XCN24" s="84"/>
      <c r="XCO24" s="84"/>
      <c r="XCP24" s="84"/>
      <c r="XCQ24" s="84"/>
      <c r="XCR24" s="84"/>
      <c r="XCS24" s="84"/>
    </row>
    <row r="25" spans="1:16321" s="225" customFormat="1" ht="15" customHeight="1">
      <c r="A25" s="85">
        <f>MAX($A$4:A24)+1</f>
        <v>21</v>
      </c>
      <c r="B25" s="156" t="s">
        <v>213</v>
      </c>
      <c r="C25" s="273" t="str">
        <f>"Table 7, Line "&amp;TEXT('T-7'!A11,"0")&amp;" "&amp;TEXT('T-7'!E3,"0")&amp;" x (7/5) x (24/16)"</f>
        <v>Table 7, Line 7 (D) x (7/5) x (24/16)</v>
      </c>
      <c r="D25" s="222"/>
      <c r="E25" s="88"/>
      <c r="F25" s="88"/>
      <c r="G25" s="161"/>
      <c r="H25" s="264">
        <f>'T-7'!E11*7/5*24/16</f>
        <v>462.96082191780829</v>
      </c>
      <c r="I25" s="264"/>
      <c r="J25" s="88"/>
      <c r="K25" s="88"/>
      <c r="L25" s="261"/>
      <c r="M25" s="91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84"/>
      <c r="AM25" s="84"/>
      <c r="AN25" s="84"/>
      <c r="AO25" s="84"/>
      <c r="AP25" s="84"/>
      <c r="AQ25" s="84"/>
      <c r="AR25" s="84"/>
      <c r="AS25" s="84"/>
      <c r="AT25" s="84"/>
      <c r="AU25" s="84"/>
      <c r="AV25" s="84"/>
      <c r="AW25" s="84"/>
      <c r="AX25" s="84"/>
      <c r="AY25" s="84"/>
      <c r="AZ25" s="84"/>
      <c r="BA25" s="84"/>
      <c r="BB25" s="84"/>
      <c r="BC25" s="84"/>
      <c r="BD25" s="84"/>
      <c r="BE25" s="84"/>
      <c r="BF25" s="84"/>
      <c r="BG25" s="84"/>
      <c r="BH25" s="84"/>
      <c r="BI25" s="84"/>
      <c r="BJ25" s="84"/>
      <c r="BK25" s="84"/>
      <c r="BL25" s="84"/>
      <c r="BM25" s="84"/>
      <c r="BN25" s="84"/>
      <c r="BO25" s="84"/>
      <c r="BP25" s="84"/>
      <c r="BQ25" s="84"/>
      <c r="BR25" s="84"/>
      <c r="BS25" s="84"/>
      <c r="BT25" s="84"/>
      <c r="BU25" s="84"/>
      <c r="BV25" s="84"/>
      <c r="BW25" s="84"/>
      <c r="BX25" s="84"/>
      <c r="BY25" s="84"/>
      <c r="BZ25" s="84"/>
      <c r="CA25" s="84"/>
      <c r="CB25" s="84"/>
      <c r="CC25" s="84"/>
      <c r="CD25" s="84"/>
      <c r="CE25" s="84"/>
      <c r="CF25" s="84"/>
      <c r="CG25" s="84"/>
      <c r="CH25" s="84"/>
      <c r="CI25" s="84"/>
      <c r="CJ25" s="84"/>
      <c r="CK25" s="84"/>
      <c r="CL25" s="84"/>
      <c r="CM25" s="84"/>
      <c r="CN25" s="84"/>
      <c r="CO25" s="84"/>
      <c r="CP25" s="84"/>
      <c r="CQ25" s="84"/>
      <c r="CR25" s="84"/>
      <c r="CS25" s="84"/>
      <c r="CT25" s="84"/>
      <c r="CU25" s="84"/>
      <c r="CV25" s="84"/>
      <c r="CW25" s="84"/>
      <c r="CX25" s="84"/>
      <c r="CY25" s="84"/>
      <c r="CZ25" s="84"/>
      <c r="DA25" s="84"/>
      <c r="DB25" s="84"/>
      <c r="DC25" s="84"/>
      <c r="DD25" s="84"/>
      <c r="DE25" s="84"/>
      <c r="DF25" s="84"/>
      <c r="DG25" s="84"/>
      <c r="DH25" s="84"/>
      <c r="DI25" s="84"/>
      <c r="DJ25" s="84"/>
      <c r="DK25" s="84"/>
      <c r="DL25" s="84"/>
      <c r="DM25" s="84"/>
      <c r="DN25" s="84"/>
      <c r="DO25" s="84"/>
      <c r="DP25" s="84"/>
      <c r="DQ25" s="84"/>
      <c r="DR25" s="84"/>
      <c r="DS25" s="84"/>
      <c r="DT25" s="84"/>
      <c r="DU25" s="84"/>
      <c r="DV25" s="84"/>
      <c r="DW25" s="84"/>
      <c r="DX25" s="84"/>
      <c r="DY25" s="84"/>
      <c r="DZ25" s="84"/>
      <c r="EA25" s="84"/>
      <c r="EB25" s="84"/>
      <c r="EC25" s="84"/>
      <c r="ED25" s="84"/>
      <c r="EE25" s="84"/>
      <c r="EF25" s="84"/>
      <c r="EG25" s="84"/>
      <c r="EH25" s="84"/>
      <c r="EI25" s="84"/>
      <c r="EJ25" s="84"/>
      <c r="EK25" s="84"/>
      <c r="EL25" s="84"/>
      <c r="EM25" s="84"/>
      <c r="EN25" s="84"/>
      <c r="EO25" s="84"/>
      <c r="EP25" s="84"/>
      <c r="EQ25" s="84"/>
      <c r="ER25" s="84"/>
      <c r="ES25" s="84"/>
      <c r="ET25" s="84"/>
      <c r="EU25" s="84"/>
      <c r="EV25" s="84"/>
      <c r="EW25" s="84"/>
      <c r="EX25" s="84"/>
      <c r="EY25" s="84"/>
      <c r="EZ25" s="84"/>
      <c r="FA25" s="84"/>
      <c r="FB25" s="84"/>
      <c r="FC25" s="84"/>
      <c r="FD25" s="84"/>
      <c r="FE25" s="84"/>
      <c r="FF25" s="84"/>
      <c r="FG25" s="84"/>
      <c r="FH25" s="84"/>
      <c r="FI25" s="84"/>
      <c r="FJ25" s="84"/>
      <c r="FK25" s="84"/>
      <c r="FL25" s="84"/>
      <c r="FM25" s="84"/>
      <c r="FN25" s="84"/>
      <c r="FO25" s="84"/>
      <c r="FP25" s="84"/>
      <c r="FQ25" s="84"/>
      <c r="FR25" s="84"/>
      <c r="FS25" s="84"/>
      <c r="FT25" s="84"/>
      <c r="FU25" s="84"/>
      <c r="FV25" s="84"/>
      <c r="FW25" s="84"/>
      <c r="FX25" s="84"/>
      <c r="FY25" s="84"/>
      <c r="FZ25" s="84"/>
      <c r="GA25" s="84"/>
      <c r="GB25" s="84"/>
      <c r="GC25" s="84"/>
      <c r="GD25" s="84"/>
      <c r="GE25" s="84"/>
      <c r="GF25" s="84"/>
      <c r="GG25" s="84"/>
      <c r="GH25" s="84"/>
      <c r="GI25" s="84"/>
      <c r="GJ25" s="84"/>
      <c r="GK25" s="84"/>
      <c r="GL25" s="84"/>
      <c r="GM25" s="84"/>
      <c r="GN25" s="84"/>
      <c r="GO25" s="84"/>
      <c r="GP25" s="84"/>
      <c r="GQ25" s="84"/>
      <c r="GR25" s="84"/>
      <c r="GS25" s="84"/>
      <c r="GT25" s="84"/>
      <c r="GU25" s="84"/>
      <c r="GV25" s="84"/>
      <c r="GW25" s="84"/>
      <c r="GX25" s="84"/>
      <c r="GY25" s="84"/>
      <c r="GZ25" s="84"/>
      <c r="HA25" s="84"/>
      <c r="HB25" s="84"/>
      <c r="HC25" s="84"/>
      <c r="HD25" s="84"/>
      <c r="HE25" s="84"/>
      <c r="HF25" s="84"/>
      <c r="HG25" s="84"/>
      <c r="HH25" s="84"/>
      <c r="HI25" s="84"/>
      <c r="HJ25" s="84"/>
      <c r="HK25" s="84"/>
      <c r="HL25" s="84"/>
      <c r="HM25" s="84"/>
      <c r="HN25" s="84"/>
      <c r="HO25" s="84"/>
      <c r="HP25" s="84"/>
      <c r="HQ25" s="84"/>
      <c r="HR25" s="84"/>
      <c r="HS25" s="84"/>
      <c r="HT25" s="84"/>
      <c r="HU25" s="84"/>
      <c r="HV25" s="84"/>
      <c r="HW25" s="84"/>
      <c r="HX25" s="84"/>
      <c r="HY25" s="84"/>
      <c r="HZ25" s="84"/>
      <c r="IA25" s="84"/>
      <c r="IB25" s="84"/>
      <c r="IC25" s="84"/>
      <c r="ID25" s="84"/>
      <c r="IE25" s="84"/>
      <c r="IF25" s="84"/>
      <c r="IG25" s="84"/>
      <c r="IH25" s="84"/>
      <c r="II25" s="84"/>
      <c r="IJ25" s="84"/>
      <c r="IK25" s="84"/>
      <c r="IL25" s="84"/>
      <c r="IM25" s="84"/>
      <c r="IN25" s="84"/>
      <c r="IO25" s="84"/>
      <c r="IP25" s="84"/>
      <c r="IQ25" s="84"/>
      <c r="IR25" s="84"/>
      <c r="IS25" s="84"/>
      <c r="IT25" s="84"/>
      <c r="IU25" s="84"/>
      <c r="IV25" s="84"/>
      <c r="IW25" s="84"/>
      <c r="IX25" s="84"/>
      <c r="IY25" s="84"/>
      <c r="IZ25" s="84"/>
      <c r="JA25" s="84"/>
      <c r="JB25" s="84"/>
      <c r="JC25" s="84"/>
      <c r="JD25" s="84"/>
      <c r="JE25" s="84"/>
      <c r="JF25" s="84"/>
      <c r="JG25" s="84"/>
      <c r="JH25" s="84"/>
      <c r="JI25" s="84"/>
      <c r="JJ25" s="84"/>
      <c r="JK25" s="84"/>
      <c r="JL25" s="84"/>
      <c r="JM25" s="84"/>
      <c r="JN25" s="84"/>
      <c r="JO25" s="84"/>
      <c r="JP25" s="84"/>
      <c r="JQ25" s="84"/>
      <c r="JR25" s="84"/>
      <c r="JS25" s="84"/>
      <c r="JT25" s="84"/>
      <c r="JU25" s="84"/>
      <c r="JV25" s="84"/>
      <c r="JW25" s="84"/>
      <c r="JX25" s="84"/>
      <c r="JY25" s="84"/>
      <c r="JZ25" s="84"/>
      <c r="KA25" s="84"/>
      <c r="KB25" s="84"/>
      <c r="KC25" s="84"/>
      <c r="KD25" s="84"/>
      <c r="KE25" s="84"/>
      <c r="KF25" s="84"/>
      <c r="KG25" s="84"/>
      <c r="KH25" s="84"/>
      <c r="KI25" s="84"/>
      <c r="KJ25" s="84"/>
      <c r="KK25" s="84"/>
      <c r="KL25" s="84"/>
      <c r="KM25" s="84"/>
      <c r="KN25" s="84"/>
      <c r="KO25" s="84"/>
      <c r="KP25" s="84"/>
      <c r="KQ25" s="84"/>
      <c r="KR25" s="84"/>
      <c r="KS25" s="84"/>
      <c r="KT25" s="84"/>
      <c r="KU25" s="84"/>
      <c r="KV25" s="84"/>
      <c r="KW25" s="84"/>
      <c r="KX25" s="84"/>
      <c r="KY25" s="84"/>
      <c r="KZ25" s="84"/>
      <c r="LA25" s="84"/>
      <c r="LB25" s="84"/>
      <c r="LC25" s="84"/>
      <c r="LD25" s="84"/>
      <c r="LE25" s="84"/>
      <c r="LF25" s="84"/>
      <c r="LG25" s="84"/>
      <c r="LH25" s="84"/>
      <c r="LI25" s="84"/>
      <c r="LJ25" s="84"/>
      <c r="LK25" s="84"/>
      <c r="LL25" s="84"/>
      <c r="LM25" s="84"/>
      <c r="LN25" s="84"/>
      <c r="LO25" s="84"/>
      <c r="LP25" s="84"/>
      <c r="LQ25" s="84"/>
      <c r="LR25" s="84"/>
      <c r="LS25" s="84"/>
      <c r="LT25" s="84"/>
      <c r="LU25" s="84"/>
      <c r="LV25" s="84"/>
      <c r="LW25" s="84"/>
      <c r="LX25" s="84"/>
      <c r="LY25" s="84"/>
      <c r="LZ25" s="84"/>
      <c r="MA25" s="84"/>
      <c r="MB25" s="84"/>
      <c r="MC25" s="84"/>
      <c r="MD25" s="84"/>
      <c r="ME25" s="84"/>
      <c r="MF25" s="84"/>
      <c r="MG25" s="84"/>
      <c r="MH25" s="84"/>
      <c r="MI25" s="84"/>
      <c r="MJ25" s="84"/>
      <c r="MK25" s="84"/>
      <c r="ML25" s="84"/>
      <c r="MM25" s="84"/>
      <c r="MN25" s="84"/>
      <c r="MO25" s="84"/>
      <c r="MP25" s="84"/>
      <c r="MQ25" s="84"/>
      <c r="MR25" s="84"/>
      <c r="MS25" s="84"/>
      <c r="MT25" s="84"/>
      <c r="MU25" s="84"/>
      <c r="MV25" s="84"/>
      <c r="MW25" s="84"/>
      <c r="MX25" s="84"/>
      <c r="MY25" s="84"/>
      <c r="MZ25" s="84"/>
      <c r="NA25" s="84"/>
      <c r="NB25" s="84"/>
      <c r="NC25" s="84"/>
      <c r="ND25" s="84"/>
      <c r="NE25" s="84"/>
      <c r="NF25" s="84"/>
      <c r="NG25" s="84"/>
      <c r="NH25" s="84"/>
      <c r="NI25" s="84"/>
      <c r="NJ25" s="84"/>
      <c r="NK25" s="84"/>
      <c r="NL25" s="84"/>
      <c r="NM25" s="84"/>
      <c r="NN25" s="84"/>
      <c r="NO25" s="84"/>
      <c r="NP25" s="84"/>
      <c r="NQ25" s="84"/>
      <c r="NR25" s="84"/>
      <c r="NS25" s="84"/>
      <c r="NT25" s="84"/>
      <c r="NU25" s="84"/>
      <c r="NV25" s="84"/>
      <c r="NW25" s="84"/>
      <c r="NX25" s="84"/>
      <c r="NY25" s="84"/>
      <c r="NZ25" s="84"/>
      <c r="OA25" s="84"/>
      <c r="OB25" s="84"/>
      <c r="OC25" s="84"/>
      <c r="OD25" s="84"/>
      <c r="OE25" s="84"/>
      <c r="OF25" s="84"/>
      <c r="OG25" s="84"/>
      <c r="OH25" s="84"/>
      <c r="OI25" s="84"/>
      <c r="OJ25" s="84"/>
      <c r="OK25" s="84"/>
      <c r="OL25" s="84"/>
      <c r="OM25" s="84"/>
      <c r="ON25" s="84"/>
      <c r="OO25" s="84"/>
      <c r="OP25" s="84"/>
      <c r="OQ25" s="84"/>
      <c r="OR25" s="84"/>
      <c r="OS25" s="84"/>
      <c r="OT25" s="84"/>
      <c r="OU25" s="84"/>
      <c r="OV25" s="84"/>
      <c r="OW25" s="84"/>
      <c r="OX25" s="84"/>
      <c r="OY25" s="84"/>
      <c r="OZ25" s="84"/>
      <c r="PA25" s="84"/>
      <c r="PB25" s="84"/>
      <c r="PC25" s="84"/>
      <c r="PD25" s="84"/>
      <c r="PE25" s="84"/>
      <c r="PF25" s="84"/>
      <c r="PG25" s="84"/>
      <c r="PH25" s="84"/>
      <c r="PI25" s="84"/>
      <c r="PJ25" s="84"/>
      <c r="PK25" s="84"/>
      <c r="PL25" s="84"/>
      <c r="PM25" s="84"/>
      <c r="PN25" s="84"/>
      <c r="PO25" s="84"/>
      <c r="PP25" s="84"/>
      <c r="PQ25" s="84"/>
      <c r="PR25" s="84"/>
      <c r="PS25" s="84"/>
      <c r="PT25" s="84"/>
      <c r="PU25" s="84"/>
      <c r="PV25" s="84"/>
      <c r="PW25" s="84"/>
      <c r="PX25" s="84"/>
      <c r="PY25" s="84"/>
      <c r="PZ25" s="84"/>
      <c r="QA25" s="84"/>
      <c r="QB25" s="84"/>
      <c r="QC25" s="84"/>
      <c r="QD25" s="84"/>
      <c r="QE25" s="84"/>
      <c r="QF25" s="84"/>
      <c r="QG25" s="84"/>
      <c r="QH25" s="84"/>
      <c r="QI25" s="84"/>
      <c r="QJ25" s="84"/>
      <c r="QK25" s="84"/>
      <c r="QL25" s="84"/>
      <c r="QM25" s="84"/>
      <c r="QN25" s="84"/>
      <c r="QO25" s="84"/>
      <c r="QP25" s="84"/>
      <c r="QQ25" s="84"/>
      <c r="QR25" s="84"/>
      <c r="QS25" s="84"/>
      <c r="QT25" s="84"/>
      <c r="QU25" s="84"/>
      <c r="QV25" s="84"/>
      <c r="QW25" s="84"/>
      <c r="QX25" s="84"/>
      <c r="QY25" s="84"/>
      <c r="QZ25" s="84"/>
      <c r="RA25" s="84"/>
      <c r="RB25" s="84"/>
      <c r="RC25" s="84"/>
      <c r="RD25" s="84"/>
      <c r="RE25" s="84"/>
      <c r="RF25" s="84"/>
      <c r="RG25" s="84"/>
      <c r="RH25" s="84"/>
      <c r="RI25" s="84"/>
      <c r="RJ25" s="84"/>
      <c r="RK25" s="84"/>
      <c r="RL25" s="84"/>
      <c r="RM25" s="84"/>
      <c r="RN25" s="84"/>
      <c r="RO25" s="84"/>
      <c r="RP25" s="84"/>
      <c r="RQ25" s="84"/>
      <c r="RR25" s="84"/>
      <c r="RS25" s="84"/>
      <c r="RT25" s="84"/>
      <c r="RU25" s="84"/>
      <c r="RV25" s="84"/>
      <c r="RW25" s="84"/>
      <c r="RX25" s="84"/>
      <c r="RY25" s="84"/>
      <c r="RZ25" s="84"/>
      <c r="SA25" s="84"/>
      <c r="SB25" s="84"/>
      <c r="SC25" s="84"/>
      <c r="SD25" s="84"/>
      <c r="SE25" s="84"/>
      <c r="SF25" s="84"/>
      <c r="SG25" s="84"/>
      <c r="SH25" s="84"/>
      <c r="SI25" s="84"/>
      <c r="SJ25" s="84"/>
      <c r="SK25" s="84"/>
      <c r="SL25" s="84"/>
      <c r="SM25" s="84"/>
      <c r="SN25" s="84"/>
      <c r="SO25" s="84"/>
      <c r="SP25" s="84"/>
      <c r="SQ25" s="84"/>
      <c r="SR25" s="84"/>
      <c r="SS25" s="84"/>
      <c r="ST25" s="84"/>
      <c r="SU25" s="84"/>
      <c r="SV25" s="84"/>
      <c r="SW25" s="84"/>
      <c r="SX25" s="84"/>
      <c r="SY25" s="84"/>
      <c r="SZ25" s="84"/>
      <c r="TA25" s="84"/>
      <c r="TB25" s="84"/>
      <c r="TC25" s="84"/>
      <c r="TD25" s="84"/>
      <c r="TE25" s="84"/>
      <c r="TF25" s="84"/>
      <c r="TG25" s="84"/>
      <c r="TH25" s="84"/>
      <c r="TI25" s="84"/>
      <c r="TJ25" s="84"/>
      <c r="TK25" s="84"/>
      <c r="TL25" s="84"/>
      <c r="TM25" s="84"/>
      <c r="TN25" s="84"/>
      <c r="TO25" s="84"/>
      <c r="TP25" s="84"/>
      <c r="TQ25" s="84"/>
      <c r="TR25" s="84"/>
      <c r="TS25" s="84"/>
      <c r="TT25" s="84"/>
      <c r="TU25" s="84"/>
      <c r="TV25" s="84"/>
      <c r="TW25" s="84"/>
      <c r="TX25" s="84"/>
      <c r="TY25" s="84"/>
      <c r="TZ25" s="84"/>
      <c r="UA25" s="84"/>
      <c r="UB25" s="84"/>
      <c r="UC25" s="84"/>
      <c r="UD25" s="84"/>
      <c r="UE25" s="84"/>
      <c r="UF25" s="84"/>
      <c r="UG25" s="84"/>
      <c r="UH25" s="84"/>
      <c r="UI25" s="84"/>
      <c r="UJ25" s="84"/>
      <c r="UK25" s="84"/>
      <c r="UL25" s="84"/>
      <c r="UM25" s="84"/>
      <c r="UN25" s="84"/>
      <c r="UO25" s="84"/>
      <c r="UP25" s="84"/>
      <c r="UQ25" s="84"/>
      <c r="UR25" s="84"/>
      <c r="US25" s="84"/>
      <c r="UT25" s="84"/>
      <c r="UU25" s="84"/>
      <c r="UV25" s="84"/>
      <c r="UW25" s="84"/>
      <c r="UX25" s="84"/>
      <c r="UY25" s="84"/>
      <c r="UZ25" s="84"/>
      <c r="VA25" s="84"/>
      <c r="VB25" s="84"/>
      <c r="VC25" s="84"/>
      <c r="VD25" s="84"/>
      <c r="VE25" s="84"/>
      <c r="VF25" s="84"/>
      <c r="VG25" s="84"/>
      <c r="VH25" s="84"/>
      <c r="VI25" s="84"/>
      <c r="VJ25" s="84"/>
      <c r="VK25" s="84"/>
      <c r="VL25" s="84"/>
      <c r="VM25" s="84"/>
      <c r="VN25" s="84"/>
      <c r="VO25" s="84"/>
      <c r="VP25" s="84"/>
      <c r="VQ25" s="84"/>
      <c r="VR25" s="84"/>
      <c r="VS25" s="84"/>
      <c r="VT25" s="84"/>
      <c r="VU25" s="84"/>
      <c r="VV25" s="84"/>
      <c r="VW25" s="84"/>
      <c r="VX25" s="84"/>
      <c r="VY25" s="84"/>
      <c r="VZ25" s="84"/>
      <c r="WA25" s="84"/>
      <c r="WB25" s="84"/>
      <c r="WC25" s="84"/>
      <c r="WD25" s="84"/>
      <c r="WE25" s="84"/>
      <c r="WF25" s="84"/>
      <c r="WG25" s="84"/>
      <c r="WH25" s="84"/>
      <c r="WI25" s="84"/>
      <c r="WJ25" s="84"/>
      <c r="WK25" s="84"/>
      <c r="WL25" s="84"/>
      <c r="WM25" s="84"/>
      <c r="WN25" s="84"/>
      <c r="WO25" s="84"/>
      <c r="WP25" s="84"/>
      <c r="WQ25" s="84"/>
      <c r="WR25" s="84"/>
      <c r="WS25" s="84"/>
      <c r="WT25" s="84"/>
      <c r="WU25" s="84"/>
      <c r="WV25" s="84"/>
      <c r="WW25" s="84"/>
      <c r="WX25" s="84"/>
      <c r="WY25" s="84"/>
      <c r="WZ25" s="84"/>
      <c r="XA25" s="84"/>
      <c r="XB25" s="84"/>
      <c r="XC25" s="84"/>
      <c r="XD25" s="84"/>
      <c r="XE25" s="84"/>
      <c r="XF25" s="84"/>
      <c r="XG25" s="84"/>
      <c r="XH25" s="84"/>
      <c r="XI25" s="84"/>
      <c r="XJ25" s="84"/>
      <c r="XK25" s="84"/>
      <c r="XL25" s="84"/>
      <c r="XM25" s="84"/>
      <c r="XN25" s="84"/>
      <c r="XO25" s="84"/>
      <c r="XP25" s="84"/>
      <c r="XQ25" s="84"/>
      <c r="XR25" s="84"/>
      <c r="XS25" s="84"/>
      <c r="XT25" s="84"/>
      <c r="XU25" s="84"/>
      <c r="XV25" s="84"/>
      <c r="XW25" s="84"/>
      <c r="XX25" s="84"/>
      <c r="XY25" s="84"/>
      <c r="XZ25" s="84"/>
      <c r="YA25" s="84"/>
      <c r="YB25" s="84"/>
      <c r="YC25" s="84"/>
      <c r="YD25" s="84"/>
      <c r="YE25" s="84"/>
      <c r="YF25" s="84"/>
      <c r="YG25" s="84"/>
      <c r="YH25" s="84"/>
      <c r="YI25" s="84"/>
      <c r="YJ25" s="84"/>
      <c r="YK25" s="84"/>
      <c r="YL25" s="84"/>
      <c r="YM25" s="84"/>
      <c r="YN25" s="84"/>
      <c r="YO25" s="84"/>
      <c r="YP25" s="84"/>
      <c r="YQ25" s="84"/>
      <c r="YR25" s="84"/>
      <c r="YS25" s="84"/>
      <c r="YT25" s="84"/>
      <c r="YU25" s="84"/>
      <c r="YV25" s="84"/>
      <c r="YW25" s="84"/>
      <c r="YX25" s="84"/>
      <c r="YY25" s="84"/>
      <c r="YZ25" s="84"/>
      <c r="ZA25" s="84"/>
      <c r="ZB25" s="84"/>
      <c r="ZC25" s="84"/>
      <c r="ZD25" s="84"/>
      <c r="ZE25" s="84"/>
      <c r="ZF25" s="84"/>
      <c r="ZG25" s="84"/>
      <c r="ZH25" s="84"/>
      <c r="ZI25" s="84"/>
      <c r="ZJ25" s="84"/>
      <c r="ZK25" s="84"/>
      <c r="ZL25" s="84"/>
      <c r="ZM25" s="84"/>
      <c r="ZN25" s="84"/>
      <c r="ZO25" s="84"/>
      <c r="ZP25" s="84"/>
      <c r="ZQ25" s="84"/>
      <c r="ZR25" s="84"/>
      <c r="ZS25" s="84"/>
      <c r="ZT25" s="84"/>
      <c r="ZU25" s="84"/>
      <c r="ZV25" s="84"/>
      <c r="ZW25" s="84"/>
      <c r="ZX25" s="84"/>
      <c r="ZY25" s="84"/>
      <c r="ZZ25" s="84"/>
      <c r="AAA25" s="84"/>
      <c r="AAB25" s="84"/>
      <c r="AAC25" s="84"/>
      <c r="AAD25" s="84"/>
      <c r="AAE25" s="84"/>
      <c r="AAF25" s="84"/>
      <c r="AAG25" s="84"/>
      <c r="AAH25" s="84"/>
      <c r="AAI25" s="84"/>
      <c r="AAJ25" s="84"/>
      <c r="AAK25" s="84"/>
      <c r="AAL25" s="84"/>
      <c r="AAM25" s="84"/>
      <c r="AAN25" s="84"/>
      <c r="AAO25" s="84"/>
      <c r="AAP25" s="84"/>
      <c r="AAQ25" s="84"/>
      <c r="AAR25" s="84"/>
      <c r="AAS25" s="84"/>
      <c r="AAT25" s="84"/>
      <c r="AAU25" s="84"/>
      <c r="AAV25" s="84"/>
      <c r="AAW25" s="84"/>
      <c r="AAX25" s="84"/>
      <c r="AAY25" s="84"/>
      <c r="AAZ25" s="84"/>
      <c r="ABA25" s="84"/>
      <c r="ABB25" s="84"/>
      <c r="ABC25" s="84"/>
      <c r="ABD25" s="84"/>
      <c r="ABE25" s="84"/>
      <c r="ABF25" s="84"/>
      <c r="ABG25" s="84"/>
      <c r="ABH25" s="84"/>
      <c r="ABI25" s="84"/>
      <c r="ABJ25" s="84"/>
      <c r="ABK25" s="84"/>
      <c r="ABL25" s="84"/>
      <c r="ABM25" s="84"/>
      <c r="ABN25" s="84"/>
      <c r="ABO25" s="84"/>
      <c r="ABP25" s="84"/>
      <c r="ABQ25" s="84"/>
      <c r="ABR25" s="84"/>
      <c r="ABS25" s="84"/>
      <c r="ABT25" s="84"/>
      <c r="ABU25" s="84"/>
      <c r="ABV25" s="84"/>
      <c r="ABW25" s="84"/>
      <c r="ABX25" s="84"/>
      <c r="ABY25" s="84"/>
      <c r="ABZ25" s="84"/>
      <c r="ACA25" s="84"/>
      <c r="ACB25" s="84"/>
      <c r="ACC25" s="84"/>
      <c r="ACD25" s="84"/>
      <c r="ACE25" s="84"/>
      <c r="ACF25" s="84"/>
      <c r="ACG25" s="84"/>
      <c r="ACH25" s="84"/>
      <c r="ACI25" s="84"/>
      <c r="ACJ25" s="84"/>
      <c r="ACK25" s="84"/>
      <c r="ACL25" s="84"/>
      <c r="ACM25" s="84"/>
      <c r="ACN25" s="84"/>
      <c r="ACO25" s="84"/>
      <c r="ACP25" s="84"/>
      <c r="ACQ25" s="84"/>
      <c r="ACR25" s="84"/>
      <c r="ACS25" s="84"/>
      <c r="ACT25" s="84"/>
      <c r="ACU25" s="84"/>
      <c r="ACV25" s="84"/>
      <c r="ACW25" s="84"/>
      <c r="ACX25" s="84"/>
      <c r="ACY25" s="84"/>
      <c r="ACZ25" s="84"/>
      <c r="ADA25" s="84"/>
      <c r="ADB25" s="84"/>
      <c r="ADC25" s="84"/>
      <c r="ADD25" s="84"/>
      <c r="ADE25" s="84"/>
      <c r="ADF25" s="84"/>
      <c r="ADG25" s="84"/>
      <c r="ADH25" s="84"/>
      <c r="ADI25" s="84"/>
      <c r="ADJ25" s="84"/>
      <c r="ADK25" s="84"/>
      <c r="ADL25" s="84"/>
      <c r="ADM25" s="84"/>
      <c r="ADN25" s="84"/>
      <c r="ADO25" s="84"/>
      <c r="ADP25" s="84"/>
      <c r="ADQ25" s="84"/>
      <c r="ADR25" s="84"/>
      <c r="ADS25" s="84"/>
      <c r="ADT25" s="84"/>
      <c r="ADU25" s="84"/>
      <c r="ADV25" s="84"/>
      <c r="ADW25" s="84"/>
      <c r="ADX25" s="84"/>
      <c r="ADY25" s="84"/>
      <c r="ADZ25" s="84"/>
      <c r="AEA25" s="84"/>
      <c r="AEB25" s="84"/>
      <c r="AEC25" s="84"/>
      <c r="AED25" s="84"/>
      <c r="AEE25" s="84"/>
      <c r="AEF25" s="84"/>
      <c r="AEG25" s="84"/>
      <c r="AEH25" s="84"/>
      <c r="AEI25" s="84"/>
      <c r="AEJ25" s="84"/>
      <c r="AEK25" s="84"/>
      <c r="AEL25" s="84"/>
      <c r="AEM25" s="84"/>
      <c r="AEN25" s="84"/>
      <c r="AEO25" s="84"/>
      <c r="AEP25" s="84"/>
      <c r="AEQ25" s="84"/>
      <c r="AER25" s="84"/>
      <c r="AES25" s="84"/>
      <c r="AET25" s="84"/>
      <c r="AEU25" s="84"/>
      <c r="AEV25" s="84"/>
      <c r="AEW25" s="84"/>
      <c r="AEX25" s="84"/>
      <c r="AEY25" s="84"/>
      <c r="AEZ25" s="84"/>
      <c r="AFA25" s="84"/>
      <c r="AFB25" s="84"/>
      <c r="AFC25" s="84"/>
      <c r="AFD25" s="84"/>
      <c r="AFE25" s="84"/>
      <c r="AFF25" s="84"/>
      <c r="AFG25" s="84"/>
      <c r="AFH25" s="84"/>
      <c r="AFI25" s="84"/>
      <c r="AFJ25" s="84"/>
      <c r="AFK25" s="84"/>
      <c r="AFL25" s="84"/>
      <c r="AFM25" s="84"/>
      <c r="AFN25" s="84"/>
      <c r="AFO25" s="84"/>
      <c r="AFP25" s="84"/>
      <c r="AFQ25" s="84"/>
      <c r="AFR25" s="84"/>
      <c r="AFS25" s="84"/>
      <c r="AFT25" s="84"/>
      <c r="AFU25" s="84"/>
      <c r="AFV25" s="84"/>
      <c r="AFW25" s="84"/>
      <c r="AFX25" s="84"/>
      <c r="AFY25" s="84"/>
      <c r="AFZ25" s="84"/>
      <c r="AGA25" s="84"/>
      <c r="AGB25" s="84"/>
      <c r="AGC25" s="84"/>
      <c r="AGD25" s="84"/>
      <c r="AGE25" s="84"/>
      <c r="AGF25" s="84"/>
      <c r="AGG25" s="84"/>
      <c r="AGH25" s="84"/>
      <c r="AGI25" s="84"/>
      <c r="AGJ25" s="84"/>
      <c r="AGK25" s="84"/>
      <c r="AGL25" s="84"/>
      <c r="AGM25" s="84"/>
      <c r="AGN25" s="84"/>
      <c r="AGO25" s="84"/>
      <c r="AGP25" s="84"/>
      <c r="AGQ25" s="84"/>
      <c r="AGR25" s="84"/>
      <c r="AGS25" s="84"/>
      <c r="AGT25" s="84"/>
      <c r="AGU25" s="84"/>
      <c r="AGV25" s="84"/>
      <c r="AGW25" s="84"/>
      <c r="AGX25" s="84"/>
      <c r="AGY25" s="84"/>
      <c r="AGZ25" s="84"/>
      <c r="AHA25" s="84"/>
      <c r="AHB25" s="84"/>
      <c r="AHC25" s="84"/>
      <c r="AHD25" s="84"/>
      <c r="AHE25" s="84"/>
      <c r="AHF25" s="84"/>
      <c r="AHG25" s="84"/>
      <c r="AHH25" s="84"/>
      <c r="AHI25" s="84"/>
      <c r="AHJ25" s="84"/>
      <c r="AHK25" s="84"/>
      <c r="AHL25" s="84"/>
      <c r="AHM25" s="84"/>
      <c r="AHN25" s="84"/>
      <c r="AHO25" s="84"/>
      <c r="AHP25" s="84"/>
      <c r="AHQ25" s="84"/>
      <c r="AHR25" s="84"/>
      <c r="AHS25" s="84"/>
      <c r="AHT25" s="84"/>
      <c r="AHU25" s="84"/>
      <c r="AHV25" s="84"/>
      <c r="AHW25" s="84"/>
      <c r="AHX25" s="84"/>
      <c r="AHY25" s="84"/>
      <c r="AHZ25" s="84"/>
      <c r="AIA25" s="84"/>
      <c r="AIB25" s="84"/>
      <c r="AIC25" s="84"/>
      <c r="AID25" s="84"/>
      <c r="AIE25" s="84"/>
      <c r="AIF25" s="84"/>
      <c r="AIG25" s="84"/>
      <c r="AIH25" s="84"/>
      <c r="AII25" s="84"/>
      <c r="AIJ25" s="84"/>
      <c r="AIK25" s="84"/>
      <c r="AIL25" s="84"/>
      <c r="AIM25" s="84"/>
      <c r="AIN25" s="84"/>
      <c r="AIO25" s="84"/>
      <c r="AIP25" s="84"/>
      <c r="AIQ25" s="84"/>
      <c r="AIR25" s="84"/>
      <c r="AIS25" s="84"/>
      <c r="AIT25" s="84"/>
      <c r="AIU25" s="84"/>
      <c r="AIV25" s="84"/>
      <c r="AIW25" s="84"/>
      <c r="AIX25" s="84"/>
      <c r="AIY25" s="84"/>
      <c r="AIZ25" s="84"/>
      <c r="AJA25" s="84"/>
      <c r="AJB25" s="84"/>
      <c r="AJC25" s="84"/>
      <c r="AJD25" s="84"/>
      <c r="AJE25" s="84"/>
      <c r="AJF25" s="84"/>
      <c r="AJG25" s="84"/>
      <c r="AJH25" s="84"/>
      <c r="AJI25" s="84"/>
      <c r="AJJ25" s="84"/>
      <c r="AJK25" s="84"/>
      <c r="AJL25" s="84"/>
      <c r="AJM25" s="84"/>
      <c r="AJN25" s="84"/>
      <c r="AJO25" s="84"/>
      <c r="AJP25" s="84"/>
      <c r="AJQ25" s="84"/>
      <c r="AJR25" s="84"/>
      <c r="AJS25" s="84"/>
      <c r="AJT25" s="84"/>
      <c r="AJU25" s="84"/>
      <c r="AJV25" s="84"/>
      <c r="AJW25" s="84"/>
      <c r="AJX25" s="84"/>
      <c r="AJY25" s="84"/>
      <c r="AJZ25" s="84"/>
      <c r="AKA25" s="84"/>
      <c r="AKB25" s="84"/>
      <c r="AKC25" s="84"/>
      <c r="AKD25" s="84"/>
      <c r="AKE25" s="84"/>
      <c r="AKF25" s="84"/>
      <c r="AKG25" s="84"/>
      <c r="AKH25" s="84"/>
      <c r="AKI25" s="84"/>
      <c r="AKJ25" s="84"/>
      <c r="AKK25" s="84"/>
      <c r="AKL25" s="84"/>
      <c r="AKM25" s="84"/>
      <c r="AKN25" s="84"/>
      <c r="AKO25" s="84"/>
      <c r="AKP25" s="84"/>
      <c r="AKQ25" s="84"/>
      <c r="AKR25" s="84"/>
      <c r="AKS25" s="84"/>
      <c r="AKT25" s="84"/>
      <c r="AKU25" s="84"/>
      <c r="AKV25" s="84"/>
      <c r="AKW25" s="84"/>
      <c r="AKX25" s="84"/>
      <c r="AKY25" s="84"/>
      <c r="AKZ25" s="84"/>
      <c r="ALA25" s="84"/>
      <c r="ALB25" s="84"/>
      <c r="ALC25" s="84"/>
      <c r="ALD25" s="84"/>
      <c r="ALE25" s="84"/>
      <c r="ALF25" s="84"/>
      <c r="ALG25" s="84"/>
      <c r="ALH25" s="84"/>
      <c r="ALI25" s="84"/>
      <c r="ALJ25" s="84"/>
      <c r="ALK25" s="84"/>
      <c r="ALL25" s="84"/>
      <c r="ALM25" s="84"/>
      <c r="ALN25" s="84"/>
      <c r="ALO25" s="84"/>
      <c r="ALP25" s="84"/>
      <c r="ALQ25" s="84"/>
      <c r="ALR25" s="84"/>
      <c r="ALS25" s="84"/>
      <c r="ALT25" s="84"/>
      <c r="ALU25" s="84"/>
      <c r="ALV25" s="84"/>
      <c r="ALW25" s="84"/>
      <c r="ALX25" s="84"/>
      <c r="ALY25" s="84"/>
      <c r="ALZ25" s="84"/>
      <c r="AMA25" s="84"/>
      <c r="AMB25" s="84"/>
      <c r="AMC25" s="84"/>
      <c r="AMD25" s="84"/>
      <c r="AME25" s="84"/>
      <c r="AMF25" s="84"/>
      <c r="AMG25" s="84"/>
      <c r="AMH25" s="84"/>
      <c r="AMI25" s="84"/>
      <c r="AMJ25" s="84"/>
      <c r="AMK25" s="84"/>
      <c r="AML25" s="84"/>
      <c r="AMM25" s="84"/>
      <c r="AMN25" s="84"/>
      <c r="AMO25" s="84"/>
      <c r="AMP25" s="84"/>
      <c r="AMQ25" s="84"/>
      <c r="AMR25" s="84"/>
      <c r="AMS25" s="84"/>
      <c r="AMT25" s="84"/>
      <c r="AMU25" s="84"/>
      <c r="AMV25" s="84"/>
      <c r="AMW25" s="84"/>
      <c r="AMX25" s="84"/>
      <c r="AMY25" s="84"/>
      <c r="AMZ25" s="84"/>
      <c r="ANA25" s="84"/>
      <c r="ANB25" s="84"/>
      <c r="ANC25" s="84"/>
      <c r="AND25" s="84"/>
      <c r="ANE25" s="84"/>
      <c r="ANF25" s="84"/>
      <c r="ANG25" s="84"/>
      <c r="ANH25" s="84"/>
      <c r="ANI25" s="84"/>
      <c r="ANJ25" s="84"/>
      <c r="ANK25" s="84"/>
      <c r="ANL25" s="84"/>
      <c r="ANM25" s="84"/>
      <c r="ANN25" s="84"/>
      <c r="ANO25" s="84"/>
      <c r="ANP25" s="84"/>
      <c r="ANQ25" s="84"/>
      <c r="ANR25" s="84"/>
      <c r="ANS25" s="84"/>
      <c r="ANT25" s="84"/>
      <c r="ANU25" s="84"/>
      <c r="ANV25" s="84"/>
      <c r="ANW25" s="84"/>
      <c r="ANX25" s="84"/>
      <c r="ANY25" s="84"/>
      <c r="ANZ25" s="84"/>
      <c r="AOA25" s="84"/>
      <c r="AOB25" s="84"/>
      <c r="AOC25" s="84"/>
      <c r="AOD25" s="84"/>
      <c r="AOE25" s="84"/>
      <c r="AOF25" s="84"/>
      <c r="AOG25" s="84"/>
      <c r="AOH25" s="84"/>
      <c r="AOI25" s="84"/>
      <c r="AOJ25" s="84"/>
      <c r="AOK25" s="84"/>
      <c r="AOL25" s="84"/>
      <c r="AOM25" s="84"/>
      <c r="AON25" s="84"/>
      <c r="AOO25" s="84"/>
      <c r="AOP25" s="84"/>
      <c r="AOQ25" s="84"/>
      <c r="AOR25" s="84"/>
      <c r="AOS25" s="84"/>
      <c r="AOT25" s="84"/>
      <c r="AOU25" s="84"/>
      <c r="AOV25" s="84"/>
      <c r="AOW25" s="84"/>
      <c r="AOX25" s="84"/>
      <c r="AOY25" s="84"/>
      <c r="AOZ25" s="84"/>
      <c r="APA25" s="84"/>
      <c r="APB25" s="84"/>
      <c r="APC25" s="84"/>
      <c r="APD25" s="84"/>
      <c r="APE25" s="84"/>
      <c r="APF25" s="84"/>
      <c r="APG25" s="84"/>
      <c r="APH25" s="84"/>
      <c r="API25" s="84"/>
      <c r="APJ25" s="84"/>
      <c r="APK25" s="84"/>
      <c r="APL25" s="84"/>
      <c r="APM25" s="84"/>
      <c r="APN25" s="84"/>
      <c r="APO25" s="84"/>
      <c r="APP25" s="84"/>
      <c r="APQ25" s="84"/>
      <c r="APR25" s="84"/>
      <c r="APS25" s="84"/>
      <c r="APT25" s="84"/>
      <c r="APU25" s="84"/>
      <c r="APV25" s="84"/>
      <c r="APW25" s="84"/>
      <c r="APX25" s="84"/>
      <c r="APY25" s="84"/>
      <c r="APZ25" s="84"/>
      <c r="AQA25" s="84"/>
      <c r="AQB25" s="84"/>
      <c r="AQC25" s="84"/>
      <c r="AQD25" s="84"/>
      <c r="AQE25" s="84"/>
      <c r="AQF25" s="84"/>
      <c r="AQG25" s="84"/>
      <c r="AQH25" s="84"/>
      <c r="AQI25" s="84"/>
      <c r="AQJ25" s="84"/>
      <c r="AQK25" s="84"/>
      <c r="AQL25" s="84"/>
      <c r="AQM25" s="84"/>
      <c r="AQN25" s="84"/>
      <c r="AQO25" s="84"/>
      <c r="AQP25" s="84"/>
      <c r="AQQ25" s="84"/>
      <c r="AQR25" s="84"/>
      <c r="AQS25" s="84"/>
      <c r="AQT25" s="84"/>
      <c r="AQU25" s="84"/>
      <c r="AQV25" s="84"/>
      <c r="AQW25" s="84"/>
      <c r="AQX25" s="84"/>
      <c r="AQY25" s="84"/>
      <c r="AQZ25" s="84"/>
      <c r="ARA25" s="84"/>
      <c r="ARB25" s="84"/>
      <c r="ARC25" s="84"/>
      <c r="ARD25" s="84"/>
      <c r="ARE25" s="84"/>
      <c r="ARF25" s="84"/>
      <c r="ARG25" s="84"/>
      <c r="ARH25" s="84"/>
      <c r="ARI25" s="84"/>
      <c r="ARJ25" s="84"/>
      <c r="ARK25" s="84"/>
      <c r="ARL25" s="84"/>
      <c r="ARM25" s="84"/>
      <c r="ARN25" s="84"/>
      <c r="ARO25" s="84"/>
      <c r="ARP25" s="84"/>
      <c r="ARQ25" s="84"/>
      <c r="ARR25" s="84"/>
      <c r="ARS25" s="84"/>
      <c r="ART25" s="84"/>
      <c r="ARU25" s="84"/>
      <c r="ARV25" s="84"/>
      <c r="ARW25" s="84"/>
      <c r="ARX25" s="84"/>
      <c r="ARY25" s="84"/>
      <c r="ARZ25" s="84"/>
      <c r="ASA25" s="84"/>
      <c r="ASB25" s="84"/>
      <c r="ASC25" s="84"/>
      <c r="ASD25" s="84"/>
      <c r="ASE25" s="84"/>
      <c r="ASF25" s="84"/>
      <c r="ASG25" s="84"/>
      <c r="ASH25" s="84"/>
      <c r="ASI25" s="84"/>
      <c r="ASJ25" s="84"/>
      <c r="ASK25" s="84"/>
      <c r="ASL25" s="84"/>
      <c r="ASM25" s="84"/>
      <c r="ASN25" s="84"/>
      <c r="ASO25" s="84"/>
      <c r="ASP25" s="84"/>
      <c r="ASQ25" s="84"/>
      <c r="ASR25" s="84"/>
      <c r="ASS25" s="84"/>
      <c r="AST25" s="84"/>
      <c r="ASU25" s="84"/>
      <c r="ASV25" s="84"/>
      <c r="ASW25" s="84"/>
      <c r="ASX25" s="84"/>
      <c r="ASY25" s="84"/>
      <c r="ASZ25" s="84"/>
      <c r="ATA25" s="84"/>
      <c r="ATB25" s="84"/>
      <c r="ATC25" s="84"/>
      <c r="ATD25" s="84"/>
      <c r="ATE25" s="84"/>
      <c r="ATF25" s="84"/>
      <c r="ATG25" s="84"/>
      <c r="ATH25" s="84"/>
      <c r="ATI25" s="84"/>
      <c r="ATJ25" s="84"/>
      <c r="ATK25" s="84"/>
      <c r="ATL25" s="84"/>
      <c r="ATM25" s="84"/>
      <c r="ATN25" s="84"/>
      <c r="ATO25" s="84"/>
      <c r="ATP25" s="84"/>
      <c r="ATQ25" s="84"/>
      <c r="ATR25" s="84"/>
      <c r="ATS25" s="84"/>
      <c r="ATT25" s="84"/>
      <c r="ATU25" s="84"/>
      <c r="ATV25" s="84"/>
      <c r="ATW25" s="84"/>
      <c r="ATX25" s="84"/>
      <c r="ATY25" s="84"/>
      <c r="ATZ25" s="84"/>
      <c r="AUA25" s="84"/>
      <c r="AUB25" s="84"/>
      <c r="AUC25" s="84"/>
      <c r="AUD25" s="84"/>
      <c r="AUE25" s="84"/>
      <c r="AUF25" s="84"/>
      <c r="AUG25" s="84"/>
      <c r="AUH25" s="84"/>
      <c r="AUI25" s="84"/>
      <c r="AUJ25" s="84"/>
      <c r="AUK25" s="84"/>
      <c r="AUL25" s="84"/>
      <c r="AUM25" s="84"/>
      <c r="AUN25" s="84"/>
      <c r="AUO25" s="84"/>
      <c r="AUP25" s="84"/>
      <c r="AUQ25" s="84"/>
      <c r="AUR25" s="84"/>
      <c r="AUS25" s="84"/>
      <c r="AUT25" s="84"/>
      <c r="AUU25" s="84"/>
      <c r="AUV25" s="84"/>
      <c r="AUW25" s="84"/>
      <c r="AUX25" s="84"/>
      <c r="AUY25" s="84"/>
      <c r="AUZ25" s="84"/>
      <c r="AVA25" s="84"/>
      <c r="AVB25" s="84"/>
      <c r="AVC25" s="84"/>
      <c r="AVD25" s="84"/>
      <c r="AVE25" s="84"/>
      <c r="AVF25" s="84"/>
      <c r="AVG25" s="84"/>
      <c r="AVH25" s="84"/>
      <c r="AVI25" s="84"/>
      <c r="AVJ25" s="84"/>
      <c r="AVK25" s="84"/>
      <c r="AVL25" s="84"/>
      <c r="AVM25" s="84"/>
      <c r="AVN25" s="84"/>
      <c r="AVO25" s="84"/>
      <c r="AVP25" s="84"/>
      <c r="AVQ25" s="84"/>
      <c r="AVR25" s="84"/>
      <c r="AVS25" s="84"/>
      <c r="AVT25" s="84"/>
      <c r="AVU25" s="84"/>
      <c r="AVV25" s="84"/>
      <c r="AVW25" s="84"/>
      <c r="AVX25" s="84"/>
      <c r="AVY25" s="84"/>
      <c r="AVZ25" s="84"/>
      <c r="AWA25" s="84"/>
      <c r="AWB25" s="84"/>
      <c r="AWC25" s="84"/>
      <c r="AWD25" s="84"/>
      <c r="AWE25" s="84"/>
      <c r="AWF25" s="84"/>
      <c r="AWG25" s="84"/>
      <c r="AWH25" s="84"/>
      <c r="AWI25" s="84"/>
      <c r="AWJ25" s="84"/>
      <c r="AWK25" s="84"/>
      <c r="AWL25" s="84"/>
      <c r="AWM25" s="84"/>
      <c r="AWN25" s="84"/>
      <c r="AWO25" s="84"/>
      <c r="AWP25" s="84"/>
      <c r="AWQ25" s="84"/>
      <c r="AWR25" s="84"/>
      <c r="AWS25" s="84"/>
      <c r="AWT25" s="84"/>
      <c r="AWU25" s="84"/>
      <c r="AWV25" s="84"/>
      <c r="AWW25" s="84"/>
      <c r="AWX25" s="84"/>
      <c r="AWY25" s="84"/>
      <c r="AWZ25" s="84"/>
      <c r="AXA25" s="84"/>
      <c r="AXB25" s="84"/>
      <c r="AXC25" s="84"/>
      <c r="AXD25" s="84"/>
      <c r="AXE25" s="84"/>
      <c r="AXF25" s="84"/>
      <c r="AXG25" s="84"/>
      <c r="AXH25" s="84"/>
      <c r="AXI25" s="84"/>
      <c r="AXJ25" s="84"/>
      <c r="AXK25" s="84"/>
      <c r="AXL25" s="84"/>
      <c r="AXM25" s="84"/>
      <c r="AXN25" s="84"/>
      <c r="AXO25" s="84"/>
      <c r="AXP25" s="84"/>
      <c r="AXQ25" s="84"/>
      <c r="AXR25" s="84"/>
      <c r="AXS25" s="84"/>
      <c r="AXT25" s="84"/>
      <c r="AXU25" s="84"/>
      <c r="AXV25" s="84"/>
      <c r="AXW25" s="84"/>
      <c r="AXX25" s="84"/>
      <c r="AXY25" s="84"/>
      <c r="AXZ25" s="84"/>
      <c r="AYA25" s="84"/>
      <c r="AYB25" s="84"/>
      <c r="AYC25" s="84"/>
      <c r="AYD25" s="84"/>
      <c r="AYE25" s="84"/>
      <c r="AYF25" s="84"/>
      <c r="AYG25" s="84"/>
      <c r="AYH25" s="84"/>
      <c r="AYI25" s="84"/>
      <c r="AYJ25" s="84"/>
      <c r="AYK25" s="84"/>
      <c r="AYL25" s="84"/>
      <c r="AYM25" s="84"/>
      <c r="AYN25" s="84"/>
      <c r="AYO25" s="84"/>
      <c r="AYP25" s="84"/>
      <c r="AYQ25" s="84"/>
      <c r="AYR25" s="84"/>
      <c r="AYS25" s="84"/>
      <c r="AYT25" s="84"/>
      <c r="AYU25" s="84"/>
      <c r="AYV25" s="84"/>
      <c r="AYW25" s="84"/>
      <c r="AYX25" s="84"/>
      <c r="AYY25" s="84"/>
      <c r="AYZ25" s="84"/>
      <c r="AZA25" s="84"/>
      <c r="AZB25" s="84"/>
      <c r="AZC25" s="84"/>
      <c r="AZD25" s="84"/>
      <c r="AZE25" s="84"/>
      <c r="AZF25" s="84"/>
      <c r="AZG25" s="84"/>
      <c r="AZH25" s="84"/>
      <c r="AZI25" s="84"/>
      <c r="AZJ25" s="84"/>
      <c r="AZK25" s="84"/>
      <c r="AZL25" s="84"/>
      <c r="AZM25" s="84"/>
      <c r="AZN25" s="84"/>
      <c r="AZO25" s="84"/>
      <c r="AZP25" s="84"/>
      <c r="AZQ25" s="84"/>
      <c r="AZR25" s="84"/>
      <c r="AZS25" s="84"/>
      <c r="AZT25" s="84"/>
      <c r="AZU25" s="84"/>
      <c r="AZV25" s="84"/>
      <c r="AZW25" s="84"/>
      <c r="AZX25" s="84"/>
      <c r="AZY25" s="84"/>
      <c r="AZZ25" s="84"/>
      <c r="BAA25" s="84"/>
      <c r="BAB25" s="84"/>
      <c r="BAC25" s="84"/>
      <c r="BAD25" s="84"/>
      <c r="BAE25" s="84"/>
      <c r="BAF25" s="84"/>
      <c r="BAG25" s="84"/>
      <c r="BAH25" s="84"/>
      <c r="BAI25" s="84"/>
      <c r="BAJ25" s="84"/>
      <c r="BAK25" s="84"/>
      <c r="BAL25" s="84"/>
      <c r="BAM25" s="84"/>
      <c r="BAN25" s="84"/>
      <c r="BAO25" s="84"/>
      <c r="BAP25" s="84"/>
      <c r="BAQ25" s="84"/>
      <c r="BAR25" s="84"/>
      <c r="BAS25" s="84"/>
      <c r="BAT25" s="84"/>
      <c r="BAU25" s="84"/>
      <c r="BAV25" s="84"/>
      <c r="BAW25" s="84"/>
      <c r="BAX25" s="84"/>
      <c r="BAY25" s="84"/>
      <c r="BAZ25" s="84"/>
      <c r="BBA25" s="84"/>
      <c r="BBB25" s="84"/>
      <c r="BBC25" s="84"/>
      <c r="BBD25" s="84"/>
      <c r="BBE25" s="84"/>
      <c r="BBF25" s="84"/>
      <c r="BBG25" s="84"/>
      <c r="BBH25" s="84"/>
      <c r="BBI25" s="84"/>
      <c r="BBJ25" s="84"/>
      <c r="BBK25" s="84"/>
      <c r="BBL25" s="84"/>
      <c r="BBM25" s="84"/>
      <c r="BBN25" s="84"/>
      <c r="BBO25" s="84"/>
      <c r="BBP25" s="84"/>
      <c r="BBQ25" s="84"/>
      <c r="BBR25" s="84"/>
      <c r="BBS25" s="84"/>
      <c r="BBT25" s="84"/>
      <c r="BBU25" s="84"/>
      <c r="BBV25" s="84"/>
      <c r="BBW25" s="84"/>
      <c r="BBX25" s="84"/>
      <c r="BBY25" s="84"/>
      <c r="BBZ25" s="84"/>
      <c r="BCA25" s="84"/>
      <c r="BCB25" s="84"/>
      <c r="BCC25" s="84"/>
      <c r="BCD25" s="84"/>
      <c r="BCE25" s="84"/>
      <c r="BCF25" s="84"/>
      <c r="BCG25" s="84"/>
      <c r="BCH25" s="84"/>
      <c r="BCI25" s="84"/>
      <c r="BCJ25" s="84"/>
      <c r="BCK25" s="84"/>
      <c r="BCL25" s="84"/>
      <c r="BCM25" s="84"/>
      <c r="BCN25" s="84"/>
      <c r="BCO25" s="84"/>
      <c r="BCP25" s="84"/>
      <c r="BCQ25" s="84"/>
      <c r="BCR25" s="84"/>
      <c r="BCS25" s="84"/>
      <c r="BCT25" s="84"/>
      <c r="BCU25" s="84"/>
      <c r="BCV25" s="84"/>
      <c r="BCW25" s="84"/>
      <c r="BCX25" s="84"/>
      <c r="BCY25" s="84"/>
      <c r="BCZ25" s="84"/>
      <c r="BDA25" s="84"/>
      <c r="BDB25" s="84"/>
      <c r="BDC25" s="84"/>
      <c r="BDD25" s="84"/>
      <c r="BDE25" s="84"/>
      <c r="BDF25" s="84"/>
      <c r="BDG25" s="84"/>
      <c r="BDH25" s="84"/>
      <c r="BDI25" s="84"/>
      <c r="BDJ25" s="84"/>
      <c r="BDK25" s="84"/>
      <c r="BDL25" s="84"/>
      <c r="BDM25" s="84"/>
      <c r="BDN25" s="84"/>
      <c r="BDO25" s="84"/>
      <c r="BDP25" s="84"/>
      <c r="BDQ25" s="84"/>
      <c r="BDR25" s="84"/>
      <c r="BDS25" s="84"/>
      <c r="BDT25" s="84"/>
      <c r="BDU25" s="84"/>
      <c r="BDV25" s="84"/>
      <c r="BDW25" s="84"/>
      <c r="BDX25" s="84"/>
      <c r="BDY25" s="84"/>
      <c r="BDZ25" s="84"/>
      <c r="BEA25" s="84"/>
      <c r="BEB25" s="84"/>
      <c r="BEC25" s="84"/>
      <c r="BED25" s="84"/>
      <c r="BEE25" s="84"/>
      <c r="BEF25" s="84"/>
      <c r="BEG25" s="84"/>
      <c r="BEH25" s="84"/>
      <c r="BEI25" s="84"/>
      <c r="BEJ25" s="84"/>
      <c r="BEK25" s="84"/>
      <c r="BEL25" s="84"/>
      <c r="BEM25" s="84"/>
      <c r="BEN25" s="84"/>
      <c r="BEO25" s="84"/>
      <c r="BEP25" s="84"/>
      <c r="BEQ25" s="84"/>
      <c r="BER25" s="84"/>
      <c r="BES25" s="84"/>
      <c r="BET25" s="84"/>
      <c r="BEU25" s="84"/>
      <c r="BEV25" s="84"/>
      <c r="BEW25" s="84"/>
      <c r="BEX25" s="84"/>
      <c r="BEY25" s="84"/>
      <c r="BEZ25" s="84"/>
      <c r="BFA25" s="84"/>
      <c r="BFB25" s="84"/>
      <c r="BFC25" s="84"/>
      <c r="BFD25" s="84"/>
      <c r="BFE25" s="84"/>
      <c r="BFF25" s="84"/>
      <c r="BFG25" s="84"/>
      <c r="BFH25" s="84"/>
      <c r="BFI25" s="84"/>
      <c r="BFJ25" s="84"/>
      <c r="BFK25" s="84"/>
      <c r="BFL25" s="84"/>
      <c r="BFM25" s="84"/>
      <c r="BFN25" s="84"/>
      <c r="BFO25" s="84"/>
      <c r="BFP25" s="84"/>
      <c r="BFQ25" s="84"/>
      <c r="BFR25" s="84"/>
      <c r="BFS25" s="84"/>
      <c r="BFT25" s="84"/>
      <c r="BFU25" s="84"/>
      <c r="BFV25" s="84"/>
      <c r="BFW25" s="84"/>
      <c r="BFX25" s="84"/>
      <c r="BFY25" s="84"/>
      <c r="BFZ25" s="84"/>
      <c r="BGA25" s="84"/>
      <c r="BGB25" s="84"/>
      <c r="BGC25" s="84"/>
      <c r="BGD25" s="84"/>
      <c r="BGE25" s="84"/>
      <c r="BGF25" s="84"/>
      <c r="BGG25" s="84"/>
      <c r="BGH25" s="84"/>
      <c r="BGI25" s="84"/>
      <c r="BGJ25" s="84"/>
      <c r="BGK25" s="84"/>
      <c r="BGL25" s="84"/>
      <c r="BGM25" s="84"/>
      <c r="BGN25" s="84"/>
      <c r="BGO25" s="84"/>
      <c r="BGP25" s="84"/>
      <c r="BGQ25" s="84"/>
      <c r="BGR25" s="84"/>
      <c r="BGS25" s="84"/>
      <c r="BGT25" s="84"/>
      <c r="BGU25" s="84"/>
      <c r="BGV25" s="84"/>
      <c r="BGW25" s="84"/>
      <c r="BGX25" s="84"/>
      <c r="BGY25" s="84"/>
      <c r="BGZ25" s="84"/>
      <c r="BHA25" s="84"/>
      <c r="BHB25" s="84"/>
      <c r="BHC25" s="84"/>
      <c r="BHD25" s="84"/>
      <c r="BHE25" s="84"/>
      <c r="BHF25" s="84"/>
      <c r="BHG25" s="84"/>
      <c r="BHH25" s="84"/>
      <c r="BHI25" s="84"/>
      <c r="BHJ25" s="84"/>
      <c r="BHK25" s="84"/>
      <c r="BHL25" s="84"/>
      <c r="BHM25" s="84"/>
      <c r="BHN25" s="84"/>
      <c r="BHO25" s="84"/>
      <c r="BHP25" s="84"/>
      <c r="BHQ25" s="84"/>
      <c r="BHR25" s="84"/>
      <c r="BHS25" s="84"/>
      <c r="BHT25" s="84"/>
      <c r="BHU25" s="84"/>
      <c r="BHV25" s="84"/>
      <c r="BHW25" s="84"/>
      <c r="BHX25" s="84"/>
      <c r="BHY25" s="84"/>
      <c r="BHZ25" s="84"/>
      <c r="BIA25" s="84"/>
      <c r="BIB25" s="84"/>
      <c r="BIC25" s="84"/>
      <c r="BID25" s="84"/>
      <c r="BIE25" s="84"/>
      <c r="BIF25" s="84"/>
      <c r="BIG25" s="84"/>
      <c r="BIH25" s="84"/>
      <c r="BII25" s="84"/>
      <c r="BIJ25" s="84"/>
      <c r="BIK25" s="84"/>
      <c r="BIL25" s="84"/>
      <c r="BIM25" s="84"/>
      <c r="BIN25" s="84"/>
      <c r="BIO25" s="84"/>
      <c r="BIP25" s="84"/>
      <c r="BIQ25" s="84"/>
      <c r="BIR25" s="84"/>
      <c r="BIS25" s="84"/>
      <c r="BIT25" s="84"/>
      <c r="BIU25" s="84"/>
      <c r="BIV25" s="84"/>
      <c r="BIW25" s="84"/>
      <c r="BIX25" s="84"/>
      <c r="BIY25" s="84"/>
      <c r="BIZ25" s="84"/>
      <c r="BJA25" s="84"/>
      <c r="BJB25" s="84"/>
      <c r="BJC25" s="84"/>
      <c r="BJD25" s="84"/>
      <c r="BJE25" s="84"/>
      <c r="BJF25" s="84"/>
      <c r="BJG25" s="84"/>
      <c r="BJH25" s="84"/>
      <c r="BJI25" s="84"/>
      <c r="BJJ25" s="84"/>
      <c r="BJK25" s="84"/>
      <c r="BJL25" s="84"/>
      <c r="BJM25" s="84"/>
      <c r="BJN25" s="84"/>
      <c r="BJO25" s="84"/>
      <c r="BJP25" s="84"/>
      <c r="BJQ25" s="84"/>
      <c r="BJR25" s="84"/>
      <c r="BJS25" s="84"/>
      <c r="BJT25" s="84"/>
      <c r="BJU25" s="84"/>
      <c r="BJV25" s="84"/>
      <c r="BJW25" s="84"/>
      <c r="BJX25" s="84"/>
      <c r="BJY25" s="84"/>
      <c r="BJZ25" s="84"/>
      <c r="BKA25" s="84"/>
      <c r="BKB25" s="84"/>
      <c r="BKC25" s="84"/>
      <c r="BKD25" s="84"/>
      <c r="BKE25" s="84"/>
      <c r="BKF25" s="84"/>
      <c r="BKG25" s="84"/>
      <c r="BKH25" s="84"/>
      <c r="BKI25" s="84"/>
      <c r="BKJ25" s="84"/>
      <c r="BKK25" s="84"/>
      <c r="BKL25" s="84"/>
      <c r="BKM25" s="84"/>
      <c r="BKN25" s="84"/>
      <c r="BKO25" s="84"/>
      <c r="BKP25" s="84"/>
      <c r="BKQ25" s="84"/>
      <c r="BKR25" s="84"/>
      <c r="BKS25" s="84"/>
      <c r="BKT25" s="84"/>
      <c r="BKU25" s="84"/>
      <c r="BKV25" s="84"/>
      <c r="BKW25" s="84"/>
      <c r="BKX25" s="84"/>
      <c r="BKY25" s="84"/>
      <c r="BKZ25" s="84"/>
      <c r="BLA25" s="84"/>
      <c r="BLB25" s="84"/>
      <c r="BLC25" s="84"/>
      <c r="BLD25" s="84"/>
      <c r="BLE25" s="84"/>
      <c r="BLF25" s="84"/>
      <c r="BLG25" s="84"/>
      <c r="BLH25" s="84"/>
      <c r="BLI25" s="84"/>
      <c r="BLJ25" s="84"/>
      <c r="BLK25" s="84"/>
      <c r="BLL25" s="84"/>
      <c r="BLM25" s="84"/>
      <c r="BLN25" s="84"/>
      <c r="BLO25" s="84"/>
      <c r="BLP25" s="84"/>
      <c r="BLQ25" s="84"/>
      <c r="BLR25" s="84"/>
      <c r="BLS25" s="84"/>
      <c r="BLT25" s="84"/>
      <c r="BLU25" s="84"/>
      <c r="BLV25" s="84"/>
      <c r="BLW25" s="84"/>
      <c r="BLX25" s="84"/>
      <c r="BLY25" s="84"/>
      <c r="BLZ25" s="84"/>
      <c r="BMA25" s="84"/>
      <c r="BMB25" s="84"/>
      <c r="BMC25" s="84"/>
      <c r="BMD25" s="84"/>
      <c r="BME25" s="84"/>
      <c r="BMF25" s="84"/>
      <c r="BMG25" s="84"/>
      <c r="BMH25" s="84"/>
      <c r="BMI25" s="84"/>
      <c r="BMJ25" s="84"/>
      <c r="BMK25" s="84"/>
      <c r="BML25" s="84"/>
      <c r="BMM25" s="84"/>
      <c r="BMN25" s="84"/>
      <c r="BMO25" s="84"/>
      <c r="BMP25" s="84"/>
      <c r="BMQ25" s="84"/>
      <c r="BMR25" s="84"/>
      <c r="BMS25" s="84"/>
      <c r="BMT25" s="84"/>
      <c r="BMU25" s="84"/>
      <c r="BMV25" s="84"/>
      <c r="BMW25" s="84"/>
      <c r="BMX25" s="84"/>
      <c r="BMY25" s="84"/>
      <c r="BMZ25" s="84"/>
      <c r="BNA25" s="84"/>
      <c r="BNB25" s="84"/>
      <c r="BNC25" s="84"/>
      <c r="BND25" s="84"/>
      <c r="BNE25" s="84"/>
      <c r="BNF25" s="84"/>
      <c r="BNG25" s="84"/>
      <c r="BNH25" s="84"/>
      <c r="BNI25" s="84"/>
      <c r="BNJ25" s="84"/>
      <c r="BNK25" s="84"/>
      <c r="BNL25" s="84"/>
      <c r="BNM25" s="84"/>
      <c r="BNN25" s="84"/>
      <c r="BNO25" s="84"/>
      <c r="BNP25" s="84"/>
      <c r="BNQ25" s="84"/>
      <c r="BNR25" s="84"/>
      <c r="BNS25" s="84"/>
      <c r="BNT25" s="84"/>
      <c r="BNU25" s="84"/>
      <c r="BNV25" s="84"/>
      <c r="BNW25" s="84"/>
      <c r="BNX25" s="84"/>
      <c r="BNY25" s="84"/>
      <c r="BNZ25" s="84"/>
      <c r="BOA25" s="84"/>
      <c r="BOB25" s="84"/>
      <c r="BOC25" s="84"/>
      <c r="BOD25" s="84"/>
      <c r="BOE25" s="84"/>
      <c r="BOF25" s="84"/>
      <c r="BOG25" s="84"/>
      <c r="BOH25" s="84"/>
      <c r="BOI25" s="84"/>
      <c r="BOJ25" s="84"/>
      <c r="BOK25" s="84"/>
      <c r="BOL25" s="84"/>
      <c r="BOM25" s="84"/>
      <c r="BON25" s="84"/>
      <c r="BOO25" s="84"/>
      <c r="BOP25" s="84"/>
      <c r="BOQ25" s="84"/>
      <c r="BOR25" s="84"/>
      <c r="BOS25" s="84"/>
      <c r="BOT25" s="84"/>
      <c r="BOU25" s="84"/>
      <c r="BOV25" s="84"/>
      <c r="BOW25" s="84"/>
      <c r="BOX25" s="84"/>
      <c r="BOY25" s="84"/>
      <c r="BOZ25" s="84"/>
      <c r="BPA25" s="84"/>
      <c r="BPB25" s="84"/>
      <c r="BPC25" s="84"/>
      <c r="BPD25" s="84"/>
      <c r="BPE25" s="84"/>
      <c r="BPF25" s="84"/>
      <c r="BPG25" s="84"/>
      <c r="BPH25" s="84"/>
      <c r="BPI25" s="84"/>
      <c r="BPJ25" s="84"/>
      <c r="BPK25" s="84"/>
      <c r="BPL25" s="84"/>
      <c r="BPM25" s="84"/>
      <c r="BPN25" s="84"/>
      <c r="BPO25" s="84"/>
      <c r="BPP25" s="84"/>
      <c r="BPQ25" s="84"/>
      <c r="BPR25" s="84"/>
      <c r="BPS25" s="84"/>
      <c r="BPT25" s="84"/>
      <c r="BPU25" s="84"/>
      <c r="BPV25" s="84"/>
      <c r="BPW25" s="84"/>
      <c r="BPX25" s="84"/>
      <c r="BPY25" s="84"/>
      <c r="BPZ25" s="84"/>
      <c r="BQA25" s="84"/>
      <c r="BQB25" s="84"/>
      <c r="BQC25" s="84"/>
      <c r="BQD25" s="84"/>
      <c r="BQE25" s="84"/>
      <c r="BQF25" s="84"/>
      <c r="BQG25" s="84"/>
      <c r="BQH25" s="84"/>
      <c r="BQI25" s="84"/>
      <c r="BQJ25" s="84"/>
      <c r="BQK25" s="84"/>
      <c r="BQL25" s="84"/>
      <c r="BQM25" s="84"/>
      <c r="BQN25" s="84"/>
      <c r="BQO25" s="84"/>
      <c r="BQP25" s="84"/>
      <c r="BQQ25" s="84"/>
      <c r="BQR25" s="84"/>
      <c r="BQS25" s="84"/>
      <c r="BQT25" s="84"/>
      <c r="BQU25" s="84"/>
      <c r="BQV25" s="84"/>
      <c r="BQW25" s="84"/>
      <c r="BQX25" s="84"/>
      <c r="BQY25" s="84"/>
      <c r="BQZ25" s="84"/>
      <c r="BRA25" s="84"/>
      <c r="BRB25" s="84"/>
      <c r="BRC25" s="84"/>
      <c r="BRD25" s="84"/>
      <c r="BRE25" s="84"/>
      <c r="BRF25" s="84"/>
      <c r="BRG25" s="84"/>
      <c r="BRH25" s="84"/>
      <c r="BRI25" s="84"/>
      <c r="BRJ25" s="84"/>
      <c r="BRK25" s="84"/>
      <c r="BRL25" s="84"/>
      <c r="BRM25" s="84"/>
      <c r="BRN25" s="84"/>
      <c r="BRO25" s="84"/>
      <c r="BRP25" s="84"/>
      <c r="BRQ25" s="84"/>
      <c r="BRR25" s="84"/>
      <c r="BRS25" s="84"/>
      <c r="BRT25" s="84"/>
      <c r="BRU25" s="84"/>
      <c r="BRV25" s="84"/>
      <c r="BRW25" s="84"/>
      <c r="BRX25" s="84"/>
      <c r="BRY25" s="84"/>
      <c r="BRZ25" s="84"/>
      <c r="BSA25" s="84"/>
      <c r="BSB25" s="84"/>
      <c r="BSC25" s="84"/>
      <c r="BSD25" s="84"/>
      <c r="BSE25" s="84"/>
      <c r="BSF25" s="84"/>
      <c r="BSG25" s="84"/>
      <c r="BSH25" s="84"/>
      <c r="BSI25" s="84"/>
      <c r="BSJ25" s="84"/>
      <c r="BSK25" s="84"/>
      <c r="BSL25" s="84"/>
      <c r="BSM25" s="84"/>
      <c r="BSN25" s="84"/>
      <c r="BSO25" s="84"/>
      <c r="BSP25" s="84"/>
      <c r="BSQ25" s="84"/>
      <c r="BSR25" s="84"/>
      <c r="BSS25" s="84"/>
      <c r="BST25" s="84"/>
      <c r="BSU25" s="84"/>
      <c r="BSV25" s="84"/>
      <c r="BSW25" s="84"/>
      <c r="BSX25" s="84"/>
      <c r="BSY25" s="84"/>
      <c r="BSZ25" s="84"/>
      <c r="BTA25" s="84"/>
      <c r="BTB25" s="84"/>
      <c r="BTC25" s="84"/>
      <c r="BTD25" s="84"/>
      <c r="BTE25" s="84"/>
      <c r="BTF25" s="84"/>
      <c r="BTG25" s="84"/>
      <c r="BTH25" s="84"/>
      <c r="BTI25" s="84"/>
      <c r="BTJ25" s="84"/>
      <c r="BTK25" s="84"/>
      <c r="BTL25" s="84"/>
      <c r="BTM25" s="84"/>
      <c r="BTN25" s="84"/>
      <c r="BTO25" s="84"/>
      <c r="BTP25" s="84"/>
      <c r="BTQ25" s="84"/>
      <c r="BTR25" s="84"/>
      <c r="BTS25" s="84"/>
      <c r="BTT25" s="84"/>
      <c r="BTU25" s="84"/>
      <c r="BTV25" s="84"/>
      <c r="BTW25" s="84"/>
      <c r="BTX25" s="84"/>
      <c r="BTY25" s="84"/>
      <c r="BTZ25" s="84"/>
      <c r="BUA25" s="84"/>
      <c r="BUB25" s="84"/>
      <c r="BUC25" s="84"/>
      <c r="BUD25" s="84"/>
      <c r="BUE25" s="84"/>
      <c r="BUF25" s="84"/>
      <c r="BUG25" s="84"/>
      <c r="BUH25" s="84"/>
      <c r="BUI25" s="84"/>
      <c r="BUJ25" s="84"/>
      <c r="BUK25" s="84"/>
      <c r="BUL25" s="84"/>
      <c r="BUM25" s="84"/>
      <c r="BUN25" s="84"/>
      <c r="BUO25" s="84"/>
      <c r="BUP25" s="84"/>
      <c r="BUQ25" s="84"/>
      <c r="BUR25" s="84"/>
      <c r="BUS25" s="84"/>
      <c r="BUT25" s="84"/>
      <c r="BUU25" s="84"/>
      <c r="BUV25" s="84"/>
      <c r="BUW25" s="84"/>
      <c r="BUX25" s="84"/>
      <c r="BUY25" s="84"/>
      <c r="BUZ25" s="84"/>
      <c r="BVA25" s="84"/>
      <c r="BVB25" s="84"/>
      <c r="BVC25" s="84"/>
      <c r="BVD25" s="84"/>
      <c r="BVE25" s="84"/>
      <c r="BVF25" s="84"/>
      <c r="BVG25" s="84"/>
      <c r="BVH25" s="84"/>
      <c r="BVI25" s="84"/>
      <c r="BVJ25" s="84"/>
      <c r="BVK25" s="84"/>
      <c r="BVL25" s="84"/>
      <c r="BVM25" s="84"/>
      <c r="BVN25" s="84"/>
      <c r="BVO25" s="84"/>
      <c r="BVP25" s="84"/>
      <c r="BVQ25" s="84"/>
      <c r="BVR25" s="84"/>
      <c r="BVS25" s="84"/>
      <c r="BVT25" s="84"/>
      <c r="BVU25" s="84"/>
      <c r="BVV25" s="84"/>
      <c r="BVW25" s="84"/>
      <c r="BVX25" s="84"/>
      <c r="BVY25" s="84"/>
      <c r="BVZ25" s="84"/>
      <c r="BWA25" s="84"/>
      <c r="BWB25" s="84"/>
      <c r="BWC25" s="84"/>
      <c r="BWD25" s="84"/>
      <c r="BWE25" s="84"/>
      <c r="BWF25" s="84"/>
      <c r="BWG25" s="84"/>
      <c r="BWH25" s="84"/>
      <c r="BWI25" s="84"/>
      <c r="BWJ25" s="84"/>
      <c r="BWK25" s="84"/>
      <c r="BWL25" s="84"/>
      <c r="BWM25" s="84"/>
      <c r="BWN25" s="84"/>
      <c r="BWO25" s="84"/>
      <c r="BWP25" s="84"/>
      <c r="BWQ25" s="84"/>
      <c r="BWR25" s="84"/>
      <c r="BWS25" s="84"/>
      <c r="BWT25" s="84"/>
      <c r="BWU25" s="84"/>
      <c r="BWV25" s="84"/>
      <c r="BWW25" s="84"/>
      <c r="BWX25" s="84"/>
      <c r="BWY25" s="84"/>
      <c r="BWZ25" s="84"/>
      <c r="BXA25" s="84"/>
      <c r="BXB25" s="84"/>
      <c r="BXC25" s="84"/>
      <c r="BXD25" s="84"/>
      <c r="BXE25" s="84"/>
      <c r="BXF25" s="84"/>
      <c r="BXG25" s="84"/>
      <c r="BXH25" s="84"/>
      <c r="BXI25" s="84"/>
      <c r="BXJ25" s="84"/>
      <c r="BXK25" s="84"/>
      <c r="BXL25" s="84"/>
      <c r="BXM25" s="84"/>
      <c r="BXN25" s="84"/>
      <c r="BXO25" s="84"/>
      <c r="BXP25" s="84"/>
      <c r="BXQ25" s="84"/>
      <c r="BXR25" s="84"/>
      <c r="BXS25" s="84"/>
      <c r="BXT25" s="84"/>
      <c r="BXU25" s="84"/>
      <c r="BXV25" s="84"/>
      <c r="BXW25" s="84"/>
      <c r="BXX25" s="84"/>
      <c r="BXY25" s="84"/>
      <c r="BXZ25" s="84"/>
      <c r="BYA25" s="84"/>
      <c r="BYB25" s="84"/>
      <c r="BYC25" s="84"/>
      <c r="BYD25" s="84"/>
      <c r="BYE25" s="84"/>
      <c r="BYF25" s="84"/>
      <c r="BYG25" s="84"/>
      <c r="BYH25" s="84"/>
      <c r="BYI25" s="84"/>
      <c r="BYJ25" s="84"/>
      <c r="BYK25" s="84"/>
      <c r="BYL25" s="84"/>
      <c r="BYM25" s="84"/>
      <c r="BYN25" s="84"/>
      <c r="BYO25" s="84"/>
      <c r="BYP25" s="84"/>
      <c r="BYQ25" s="84"/>
      <c r="BYR25" s="84"/>
      <c r="BYS25" s="84"/>
      <c r="BYT25" s="84"/>
      <c r="BYU25" s="84"/>
      <c r="BYV25" s="84"/>
      <c r="BYW25" s="84"/>
      <c r="BYX25" s="84"/>
      <c r="BYY25" s="84"/>
      <c r="BYZ25" s="84"/>
      <c r="BZA25" s="84"/>
      <c r="BZB25" s="84"/>
      <c r="BZC25" s="84"/>
      <c r="BZD25" s="84"/>
      <c r="BZE25" s="84"/>
      <c r="BZF25" s="84"/>
      <c r="BZG25" s="84"/>
      <c r="BZH25" s="84"/>
      <c r="BZI25" s="84"/>
      <c r="BZJ25" s="84"/>
      <c r="BZK25" s="84"/>
      <c r="BZL25" s="84"/>
      <c r="BZM25" s="84"/>
      <c r="BZN25" s="84"/>
      <c r="BZO25" s="84"/>
      <c r="BZP25" s="84"/>
      <c r="BZQ25" s="84"/>
      <c r="BZR25" s="84"/>
      <c r="BZS25" s="84"/>
      <c r="BZT25" s="84"/>
      <c r="BZU25" s="84"/>
      <c r="BZV25" s="84"/>
      <c r="BZW25" s="84"/>
      <c r="BZX25" s="84"/>
      <c r="BZY25" s="84"/>
      <c r="BZZ25" s="84"/>
      <c r="CAA25" s="84"/>
      <c r="CAB25" s="84"/>
      <c r="CAC25" s="84"/>
      <c r="CAD25" s="84"/>
      <c r="CAE25" s="84"/>
      <c r="CAF25" s="84"/>
      <c r="CAG25" s="84"/>
      <c r="CAH25" s="84"/>
      <c r="CAI25" s="84"/>
      <c r="CAJ25" s="84"/>
      <c r="CAK25" s="84"/>
      <c r="CAL25" s="84"/>
      <c r="CAM25" s="84"/>
      <c r="CAN25" s="84"/>
      <c r="CAO25" s="84"/>
      <c r="CAP25" s="84"/>
      <c r="CAQ25" s="84"/>
      <c r="CAR25" s="84"/>
      <c r="CAS25" s="84"/>
      <c r="CAT25" s="84"/>
      <c r="CAU25" s="84"/>
      <c r="CAV25" s="84"/>
      <c r="CAW25" s="84"/>
      <c r="CAX25" s="84"/>
      <c r="CAY25" s="84"/>
      <c r="CAZ25" s="84"/>
      <c r="CBA25" s="84"/>
      <c r="CBB25" s="84"/>
      <c r="CBC25" s="84"/>
      <c r="CBD25" s="84"/>
      <c r="CBE25" s="84"/>
      <c r="CBF25" s="84"/>
      <c r="CBG25" s="84"/>
      <c r="CBH25" s="84"/>
      <c r="CBI25" s="84"/>
      <c r="CBJ25" s="84"/>
      <c r="CBK25" s="84"/>
      <c r="CBL25" s="84"/>
      <c r="CBM25" s="84"/>
      <c r="CBN25" s="84"/>
      <c r="CBO25" s="84"/>
      <c r="CBP25" s="84"/>
      <c r="CBQ25" s="84"/>
      <c r="CBR25" s="84"/>
      <c r="CBS25" s="84"/>
      <c r="CBT25" s="84"/>
      <c r="CBU25" s="84"/>
      <c r="CBV25" s="84"/>
      <c r="CBW25" s="84"/>
      <c r="CBX25" s="84"/>
      <c r="CBY25" s="84"/>
      <c r="CBZ25" s="84"/>
      <c r="CCA25" s="84"/>
      <c r="CCB25" s="84"/>
      <c r="CCC25" s="84"/>
      <c r="CCD25" s="84"/>
      <c r="CCE25" s="84"/>
      <c r="CCF25" s="84"/>
      <c r="CCG25" s="84"/>
      <c r="CCH25" s="84"/>
      <c r="CCI25" s="84"/>
      <c r="CCJ25" s="84"/>
      <c r="CCK25" s="84"/>
      <c r="CCL25" s="84"/>
      <c r="CCM25" s="84"/>
      <c r="CCN25" s="84"/>
      <c r="CCO25" s="84"/>
      <c r="CCP25" s="84"/>
      <c r="CCQ25" s="84"/>
      <c r="CCR25" s="84"/>
      <c r="CCS25" s="84"/>
      <c r="CCT25" s="84"/>
      <c r="CCU25" s="84"/>
      <c r="CCV25" s="84"/>
      <c r="CCW25" s="84"/>
      <c r="CCX25" s="84"/>
      <c r="CCY25" s="84"/>
      <c r="CCZ25" s="84"/>
      <c r="CDA25" s="84"/>
      <c r="CDB25" s="84"/>
      <c r="CDC25" s="84"/>
      <c r="CDD25" s="84"/>
      <c r="CDE25" s="84"/>
      <c r="CDF25" s="84"/>
      <c r="CDG25" s="84"/>
      <c r="CDH25" s="84"/>
      <c r="CDI25" s="84"/>
      <c r="CDJ25" s="84"/>
      <c r="CDK25" s="84"/>
      <c r="CDL25" s="84"/>
      <c r="CDM25" s="84"/>
      <c r="CDN25" s="84"/>
      <c r="CDO25" s="84"/>
      <c r="CDP25" s="84"/>
      <c r="CDQ25" s="84"/>
      <c r="CDR25" s="84"/>
      <c r="CDS25" s="84"/>
      <c r="CDT25" s="84"/>
      <c r="CDU25" s="84"/>
      <c r="CDV25" s="84"/>
      <c r="CDW25" s="84"/>
      <c r="CDX25" s="84"/>
      <c r="CDY25" s="84"/>
      <c r="CDZ25" s="84"/>
      <c r="CEA25" s="84"/>
      <c r="CEB25" s="84"/>
      <c r="CEC25" s="84"/>
      <c r="CED25" s="84"/>
      <c r="CEE25" s="84"/>
      <c r="CEF25" s="84"/>
      <c r="CEG25" s="84"/>
      <c r="CEH25" s="84"/>
      <c r="CEI25" s="84"/>
      <c r="CEJ25" s="84"/>
      <c r="CEK25" s="84"/>
      <c r="CEL25" s="84"/>
      <c r="CEM25" s="84"/>
      <c r="CEN25" s="84"/>
      <c r="CEO25" s="84"/>
      <c r="CEP25" s="84"/>
      <c r="CEQ25" s="84"/>
      <c r="CER25" s="84"/>
      <c r="CES25" s="84"/>
      <c r="CET25" s="84"/>
      <c r="CEU25" s="84"/>
      <c r="CEV25" s="84"/>
      <c r="CEW25" s="84"/>
      <c r="CEX25" s="84"/>
      <c r="CEY25" s="84"/>
      <c r="CEZ25" s="84"/>
      <c r="CFA25" s="84"/>
      <c r="CFB25" s="84"/>
      <c r="CFC25" s="84"/>
      <c r="CFD25" s="84"/>
      <c r="CFE25" s="84"/>
      <c r="CFF25" s="84"/>
      <c r="CFG25" s="84"/>
      <c r="CFH25" s="84"/>
      <c r="CFI25" s="84"/>
      <c r="CFJ25" s="84"/>
      <c r="CFK25" s="84"/>
      <c r="CFL25" s="84"/>
      <c r="CFM25" s="84"/>
      <c r="CFN25" s="84"/>
      <c r="CFO25" s="84"/>
      <c r="CFP25" s="84"/>
      <c r="CFQ25" s="84"/>
      <c r="CFR25" s="84"/>
      <c r="CFS25" s="84"/>
      <c r="CFT25" s="84"/>
      <c r="CFU25" s="84"/>
      <c r="CFV25" s="84"/>
      <c r="CFW25" s="84"/>
      <c r="CFX25" s="84"/>
      <c r="CFY25" s="84"/>
      <c r="CFZ25" s="84"/>
      <c r="CGA25" s="84"/>
      <c r="CGB25" s="84"/>
      <c r="CGC25" s="84"/>
      <c r="CGD25" s="84"/>
      <c r="CGE25" s="84"/>
      <c r="CGF25" s="84"/>
      <c r="CGG25" s="84"/>
      <c r="CGH25" s="84"/>
      <c r="CGI25" s="84"/>
      <c r="CGJ25" s="84"/>
      <c r="CGK25" s="84"/>
      <c r="CGL25" s="84"/>
      <c r="CGM25" s="84"/>
      <c r="CGN25" s="84"/>
      <c r="CGO25" s="84"/>
      <c r="CGP25" s="84"/>
      <c r="CGQ25" s="84"/>
      <c r="CGR25" s="84"/>
      <c r="CGS25" s="84"/>
      <c r="CGT25" s="84"/>
      <c r="CGU25" s="84"/>
      <c r="CGV25" s="84"/>
      <c r="CGW25" s="84"/>
      <c r="CGX25" s="84"/>
      <c r="CGY25" s="84"/>
      <c r="CGZ25" s="84"/>
      <c r="CHA25" s="84"/>
      <c r="CHB25" s="84"/>
      <c r="CHC25" s="84"/>
      <c r="CHD25" s="84"/>
      <c r="CHE25" s="84"/>
      <c r="CHF25" s="84"/>
      <c r="CHG25" s="84"/>
      <c r="CHH25" s="84"/>
      <c r="CHI25" s="84"/>
      <c r="CHJ25" s="84"/>
      <c r="CHK25" s="84"/>
      <c r="CHL25" s="84"/>
      <c r="CHM25" s="84"/>
      <c r="CHN25" s="84"/>
      <c r="CHO25" s="84"/>
      <c r="CHP25" s="84"/>
      <c r="CHQ25" s="84"/>
      <c r="CHR25" s="84"/>
      <c r="CHS25" s="84"/>
      <c r="CHT25" s="84"/>
      <c r="CHU25" s="84"/>
      <c r="CHV25" s="84"/>
      <c r="CHW25" s="84"/>
      <c r="CHX25" s="84"/>
      <c r="CHY25" s="84"/>
      <c r="CHZ25" s="84"/>
      <c r="CIA25" s="84"/>
      <c r="CIB25" s="84"/>
      <c r="CIC25" s="84"/>
      <c r="CID25" s="84"/>
      <c r="CIE25" s="84"/>
      <c r="CIF25" s="84"/>
      <c r="CIG25" s="84"/>
      <c r="CIH25" s="84"/>
      <c r="CII25" s="84"/>
      <c r="CIJ25" s="84"/>
      <c r="CIK25" s="84"/>
      <c r="CIL25" s="84"/>
      <c r="CIM25" s="84"/>
      <c r="CIN25" s="84"/>
      <c r="CIO25" s="84"/>
      <c r="CIP25" s="84"/>
      <c r="CIQ25" s="84"/>
      <c r="CIR25" s="84"/>
      <c r="CIS25" s="84"/>
      <c r="CIT25" s="84"/>
      <c r="CIU25" s="84"/>
      <c r="CIV25" s="84"/>
      <c r="CIW25" s="84"/>
      <c r="CIX25" s="84"/>
      <c r="CIY25" s="84"/>
      <c r="CIZ25" s="84"/>
      <c r="CJA25" s="84"/>
      <c r="CJB25" s="84"/>
      <c r="CJC25" s="84"/>
      <c r="CJD25" s="84"/>
      <c r="CJE25" s="84"/>
      <c r="CJF25" s="84"/>
      <c r="CJG25" s="84"/>
      <c r="CJH25" s="84"/>
      <c r="CJI25" s="84"/>
      <c r="CJJ25" s="84"/>
      <c r="CJK25" s="84"/>
      <c r="CJL25" s="84"/>
      <c r="CJM25" s="84"/>
      <c r="CJN25" s="84"/>
      <c r="CJO25" s="84"/>
      <c r="CJP25" s="84"/>
      <c r="CJQ25" s="84"/>
      <c r="CJR25" s="84"/>
      <c r="CJS25" s="84"/>
      <c r="CJT25" s="84"/>
      <c r="CJU25" s="84"/>
      <c r="CJV25" s="84"/>
      <c r="CJW25" s="84"/>
      <c r="CJX25" s="84"/>
      <c r="CJY25" s="84"/>
      <c r="CJZ25" s="84"/>
      <c r="CKA25" s="84"/>
      <c r="CKB25" s="84"/>
      <c r="CKC25" s="84"/>
      <c r="CKD25" s="84"/>
      <c r="CKE25" s="84"/>
      <c r="CKF25" s="84"/>
      <c r="CKG25" s="84"/>
      <c r="CKH25" s="84"/>
      <c r="CKI25" s="84"/>
      <c r="CKJ25" s="84"/>
      <c r="CKK25" s="84"/>
      <c r="CKL25" s="84"/>
      <c r="CKM25" s="84"/>
      <c r="CKN25" s="84"/>
      <c r="CKO25" s="84"/>
      <c r="CKP25" s="84"/>
      <c r="CKQ25" s="84"/>
      <c r="CKR25" s="84"/>
      <c r="CKS25" s="84"/>
      <c r="CKT25" s="84"/>
      <c r="CKU25" s="84"/>
      <c r="CKV25" s="84"/>
      <c r="CKW25" s="84"/>
      <c r="CKX25" s="84"/>
      <c r="CKY25" s="84"/>
      <c r="CKZ25" s="84"/>
      <c r="CLA25" s="84"/>
      <c r="CLB25" s="84"/>
      <c r="CLC25" s="84"/>
      <c r="CLD25" s="84"/>
      <c r="CLE25" s="84"/>
      <c r="CLF25" s="84"/>
      <c r="CLG25" s="84"/>
      <c r="CLH25" s="84"/>
      <c r="CLI25" s="84"/>
      <c r="CLJ25" s="84"/>
      <c r="CLK25" s="84"/>
      <c r="CLL25" s="84"/>
      <c r="CLM25" s="84"/>
      <c r="CLN25" s="84"/>
      <c r="CLO25" s="84"/>
      <c r="CLP25" s="84"/>
      <c r="CLQ25" s="84"/>
      <c r="CLR25" s="84"/>
      <c r="CLS25" s="84"/>
      <c r="CLT25" s="84"/>
      <c r="CLU25" s="84"/>
      <c r="CLV25" s="84"/>
      <c r="CLW25" s="84"/>
      <c r="CLX25" s="84"/>
      <c r="CLY25" s="84"/>
      <c r="CLZ25" s="84"/>
      <c r="CMA25" s="84"/>
      <c r="CMB25" s="84"/>
      <c r="CMC25" s="84"/>
      <c r="CMD25" s="84"/>
      <c r="CME25" s="84"/>
      <c r="CMF25" s="84"/>
      <c r="CMG25" s="84"/>
      <c r="CMH25" s="84"/>
      <c r="CMI25" s="84"/>
      <c r="CMJ25" s="84"/>
      <c r="CMK25" s="84"/>
      <c r="CML25" s="84"/>
      <c r="CMM25" s="84"/>
      <c r="CMN25" s="84"/>
      <c r="CMO25" s="84"/>
      <c r="CMP25" s="84"/>
      <c r="CMQ25" s="84"/>
      <c r="CMR25" s="84"/>
      <c r="CMS25" s="84"/>
      <c r="CMT25" s="84"/>
      <c r="CMU25" s="84"/>
      <c r="CMV25" s="84"/>
      <c r="CMW25" s="84"/>
      <c r="CMX25" s="84"/>
      <c r="CMY25" s="84"/>
      <c r="CMZ25" s="84"/>
      <c r="CNA25" s="84"/>
      <c r="CNB25" s="84"/>
      <c r="CNC25" s="84"/>
      <c r="CND25" s="84"/>
      <c r="CNE25" s="84"/>
      <c r="CNF25" s="84"/>
      <c r="CNG25" s="84"/>
      <c r="CNH25" s="84"/>
      <c r="CNI25" s="84"/>
      <c r="CNJ25" s="84"/>
      <c r="CNK25" s="84"/>
      <c r="CNL25" s="84"/>
      <c r="CNM25" s="84"/>
      <c r="CNN25" s="84"/>
      <c r="CNO25" s="84"/>
      <c r="CNP25" s="84"/>
      <c r="CNQ25" s="84"/>
      <c r="CNR25" s="84"/>
      <c r="CNS25" s="84"/>
      <c r="CNT25" s="84"/>
      <c r="CNU25" s="84"/>
      <c r="CNV25" s="84"/>
      <c r="CNW25" s="84"/>
      <c r="CNX25" s="84"/>
      <c r="CNY25" s="84"/>
      <c r="CNZ25" s="84"/>
      <c r="COA25" s="84"/>
      <c r="COB25" s="84"/>
      <c r="COC25" s="84"/>
      <c r="COD25" s="84"/>
      <c r="COE25" s="84"/>
      <c r="COF25" s="84"/>
      <c r="COG25" s="84"/>
      <c r="COH25" s="84"/>
      <c r="COI25" s="84"/>
      <c r="COJ25" s="84"/>
      <c r="COK25" s="84"/>
      <c r="COL25" s="84"/>
      <c r="COM25" s="84"/>
      <c r="CON25" s="84"/>
      <c r="COO25" s="84"/>
      <c r="COP25" s="84"/>
      <c r="COQ25" s="84"/>
      <c r="COR25" s="84"/>
      <c r="COS25" s="84"/>
      <c r="COT25" s="84"/>
      <c r="COU25" s="84"/>
      <c r="COV25" s="84"/>
      <c r="COW25" s="84"/>
      <c r="COX25" s="84"/>
      <c r="COY25" s="84"/>
      <c r="COZ25" s="84"/>
      <c r="CPA25" s="84"/>
      <c r="CPB25" s="84"/>
      <c r="CPC25" s="84"/>
      <c r="CPD25" s="84"/>
      <c r="CPE25" s="84"/>
      <c r="CPF25" s="84"/>
      <c r="CPG25" s="84"/>
      <c r="CPH25" s="84"/>
      <c r="CPI25" s="84"/>
      <c r="CPJ25" s="84"/>
      <c r="CPK25" s="84"/>
      <c r="CPL25" s="84"/>
      <c r="CPM25" s="84"/>
      <c r="CPN25" s="84"/>
      <c r="CPO25" s="84"/>
      <c r="CPP25" s="84"/>
      <c r="CPQ25" s="84"/>
      <c r="CPR25" s="84"/>
      <c r="CPS25" s="84"/>
      <c r="CPT25" s="84"/>
      <c r="CPU25" s="84"/>
      <c r="CPV25" s="84"/>
      <c r="CPW25" s="84"/>
      <c r="CPX25" s="84"/>
      <c r="CPY25" s="84"/>
      <c r="CPZ25" s="84"/>
      <c r="CQA25" s="84"/>
      <c r="CQB25" s="84"/>
      <c r="CQC25" s="84"/>
      <c r="CQD25" s="84"/>
      <c r="CQE25" s="84"/>
      <c r="CQF25" s="84"/>
      <c r="CQG25" s="84"/>
      <c r="CQH25" s="84"/>
      <c r="CQI25" s="84"/>
      <c r="CQJ25" s="84"/>
      <c r="CQK25" s="84"/>
      <c r="CQL25" s="84"/>
      <c r="CQM25" s="84"/>
      <c r="CQN25" s="84"/>
      <c r="CQO25" s="84"/>
      <c r="CQP25" s="84"/>
      <c r="CQQ25" s="84"/>
      <c r="CQR25" s="84"/>
      <c r="CQS25" s="84"/>
      <c r="CQT25" s="84"/>
      <c r="CQU25" s="84"/>
      <c r="CQV25" s="84"/>
      <c r="CQW25" s="84"/>
      <c r="CQX25" s="84"/>
      <c r="CQY25" s="84"/>
      <c r="CQZ25" s="84"/>
      <c r="CRA25" s="84"/>
      <c r="CRB25" s="84"/>
      <c r="CRC25" s="84"/>
      <c r="CRD25" s="84"/>
      <c r="CRE25" s="84"/>
      <c r="CRF25" s="84"/>
      <c r="CRG25" s="84"/>
      <c r="CRH25" s="84"/>
      <c r="CRI25" s="84"/>
      <c r="CRJ25" s="84"/>
      <c r="CRK25" s="84"/>
      <c r="CRL25" s="84"/>
      <c r="CRM25" s="84"/>
      <c r="CRN25" s="84"/>
      <c r="CRO25" s="84"/>
      <c r="CRP25" s="84"/>
      <c r="CRQ25" s="84"/>
      <c r="CRR25" s="84"/>
      <c r="CRS25" s="84"/>
      <c r="CRT25" s="84"/>
      <c r="CRU25" s="84"/>
      <c r="CRV25" s="84"/>
      <c r="CRW25" s="84"/>
      <c r="CRX25" s="84"/>
      <c r="CRY25" s="84"/>
      <c r="CRZ25" s="84"/>
      <c r="CSA25" s="84"/>
      <c r="CSB25" s="84"/>
      <c r="CSC25" s="84"/>
      <c r="CSD25" s="84"/>
      <c r="CSE25" s="84"/>
      <c r="CSF25" s="84"/>
      <c r="CSG25" s="84"/>
      <c r="CSH25" s="84"/>
      <c r="CSI25" s="84"/>
      <c r="CSJ25" s="84"/>
      <c r="CSK25" s="84"/>
      <c r="CSL25" s="84"/>
      <c r="CSM25" s="84"/>
      <c r="CSN25" s="84"/>
      <c r="CSO25" s="84"/>
      <c r="CSP25" s="84"/>
      <c r="CSQ25" s="84"/>
      <c r="CSR25" s="84"/>
      <c r="CSS25" s="84"/>
      <c r="CST25" s="84"/>
      <c r="CSU25" s="84"/>
      <c r="CSV25" s="84"/>
      <c r="CSW25" s="84"/>
      <c r="CSX25" s="84"/>
      <c r="CSY25" s="84"/>
      <c r="CSZ25" s="84"/>
      <c r="CTA25" s="84"/>
      <c r="CTB25" s="84"/>
      <c r="CTC25" s="84"/>
      <c r="CTD25" s="84"/>
      <c r="CTE25" s="84"/>
      <c r="CTF25" s="84"/>
      <c r="CTG25" s="84"/>
      <c r="CTH25" s="84"/>
      <c r="CTI25" s="84"/>
      <c r="CTJ25" s="84"/>
      <c r="CTK25" s="84"/>
      <c r="CTL25" s="84"/>
      <c r="CTM25" s="84"/>
      <c r="CTN25" s="84"/>
      <c r="CTO25" s="84"/>
      <c r="CTP25" s="84"/>
      <c r="CTQ25" s="84"/>
      <c r="CTR25" s="84"/>
      <c r="CTS25" s="84"/>
      <c r="CTT25" s="84"/>
      <c r="CTU25" s="84"/>
      <c r="CTV25" s="84"/>
      <c r="CTW25" s="84"/>
      <c r="CTX25" s="84"/>
      <c r="CTY25" s="84"/>
      <c r="CTZ25" s="84"/>
      <c r="CUA25" s="84"/>
      <c r="CUB25" s="84"/>
      <c r="CUC25" s="84"/>
      <c r="CUD25" s="84"/>
      <c r="CUE25" s="84"/>
      <c r="CUF25" s="84"/>
      <c r="CUG25" s="84"/>
      <c r="CUH25" s="84"/>
      <c r="CUI25" s="84"/>
      <c r="CUJ25" s="84"/>
      <c r="CUK25" s="84"/>
      <c r="CUL25" s="84"/>
      <c r="CUM25" s="84"/>
      <c r="CUN25" s="84"/>
      <c r="CUO25" s="84"/>
      <c r="CUP25" s="84"/>
      <c r="CUQ25" s="84"/>
      <c r="CUR25" s="84"/>
      <c r="CUS25" s="84"/>
      <c r="CUT25" s="84"/>
      <c r="CUU25" s="84"/>
      <c r="CUV25" s="84"/>
      <c r="CUW25" s="84"/>
      <c r="CUX25" s="84"/>
      <c r="CUY25" s="84"/>
      <c r="CUZ25" s="84"/>
      <c r="CVA25" s="84"/>
      <c r="CVB25" s="84"/>
      <c r="CVC25" s="84"/>
      <c r="CVD25" s="84"/>
      <c r="CVE25" s="84"/>
      <c r="CVF25" s="84"/>
      <c r="CVG25" s="84"/>
      <c r="CVH25" s="84"/>
      <c r="CVI25" s="84"/>
      <c r="CVJ25" s="84"/>
      <c r="CVK25" s="84"/>
      <c r="CVL25" s="84"/>
      <c r="CVM25" s="84"/>
      <c r="CVN25" s="84"/>
      <c r="CVO25" s="84"/>
      <c r="CVP25" s="84"/>
      <c r="CVQ25" s="84"/>
      <c r="CVR25" s="84"/>
      <c r="CVS25" s="84"/>
      <c r="CVT25" s="84"/>
      <c r="CVU25" s="84"/>
      <c r="CVV25" s="84"/>
      <c r="CVW25" s="84"/>
      <c r="CVX25" s="84"/>
      <c r="CVY25" s="84"/>
      <c r="CVZ25" s="84"/>
      <c r="CWA25" s="84"/>
      <c r="CWB25" s="84"/>
      <c r="CWC25" s="84"/>
      <c r="CWD25" s="84"/>
      <c r="CWE25" s="84"/>
      <c r="CWF25" s="84"/>
      <c r="CWG25" s="84"/>
      <c r="CWH25" s="84"/>
      <c r="CWI25" s="84"/>
      <c r="CWJ25" s="84"/>
      <c r="CWK25" s="84"/>
      <c r="CWL25" s="84"/>
      <c r="CWM25" s="84"/>
      <c r="CWN25" s="84"/>
      <c r="CWO25" s="84"/>
      <c r="CWP25" s="84"/>
      <c r="CWQ25" s="84"/>
      <c r="CWR25" s="84"/>
      <c r="CWS25" s="84"/>
      <c r="CWT25" s="84"/>
      <c r="CWU25" s="84"/>
      <c r="CWV25" s="84"/>
      <c r="CWW25" s="84"/>
      <c r="CWX25" s="84"/>
      <c r="CWY25" s="84"/>
      <c r="CWZ25" s="84"/>
      <c r="CXA25" s="84"/>
      <c r="CXB25" s="84"/>
      <c r="CXC25" s="84"/>
      <c r="CXD25" s="84"/>
      <c r="CXE25" s="84"/>
      <c r="CXF25" s="84"/>
      <c r="CXG25" s="84"/>
      <c r="CXH25" s="84"/>
      <c r="CXI25" s="84"/>
      <c r="CXJ25" s="84"/>
      <c r="CXK25" s="84"/>
      <c r="CXL25" s="84"/>
      <c r="CXM25" s="84"/>
      <c r="CXN25" s="84"/>
      <c r="CXO25" s="84"/>
      <c r="CXP25" s="84"/>
      <c r="CXQ25" s="84"/>
      <c r="CXR25" s="84"/>
      <c r="CXS25" s="84"/>
      <c r="CXT25" s="84"/>
      <c r="CXU25" s="84"/>
      <c r="CXV25" s="84"/>
      <c r="CXW25" s="84"/>
      <c r="CXX25" s="84"/>
      <c r="CXY25" s="84"/>
      <c r="CXZ25" s="84"/>
      <c r="CYA25" s="84"/>
      <c r="CYB25" s="84"/>
      <c r="CYC25" s="84"/>
      <c r="CYD25" s="84"/>
      <c r="CYE25" s="84"/>
      <c r="CYF25" s="84"/>
      <c r="CYG25" s="84"/>
      <c r="CYH25" s="84"/>
      <c r="CYI25" s="84"/>
      <c r="CYJ25" s="84"/>
      <c r="CYK25" s="84"/>
      <c r="CYL25" s="84"/>
      <c r="CYM25" s="84"/>
      <c r="CYN25" s="84"/>
      <c r="CYO25" s="84"/>
      <c r="CYP25" s="84"/>
      <c r="CYQ25" s="84"/>
      <c r="CYR25" s="84"/>
      <c r="CYS25" s="84"/>
      <c r="CYT25" s="84"/>
      <c r="CYU25" s="84"/>
      <c r="CYV25" s="84"/>
      <c r="CYW25" s="84"/>
      <c r="CYX25" s="84"/>
      <c r="CYY25" s="84"/>
      <c r="CYZ25" s="84"/>
      <c r="CZA25" s="84"/>
      <c r="CZB25" s="84"/>
      <c r="CZC25" s="84"/>
      <c r="CZD25" s="84"/>
      <c r="CZE25" s="84"/>
      <c r="CZF25" s="84"/>
      <c r="CZG25" s="84"/>
      <c r="CZH25" s="84"/>
      <c r="CZI25" s="84"/>
      <c r="CZJ25" s="84"/>
      <c r="CZK25" s="84"/>
      <c r="CZL25" s="84"/>
      <c r="CZM25" s="84"/>
      <c r="CZN25" s="84"/>
      <c r="CZO25" s="84"/>
      <c r="CZP25" s="84"/>
      <c r="CZQ25" s="84"/>
      <c r="CZR25" s="84"/>
      <c r="CZS25" s="84"/>
      <c r="CZT25" s="84"/>
      <c r="CZU25" s="84"/>
      <c r="CZV25" s="84"/>
      <c r="CZW25" s="84"/>
      <c r="CZX25" s="84"/>
      <c r="CZY25" s="84"/>
      <c r="CZZ25" s="84"/>
      <c r="DAA25" s="84"/>
      <c r="DAB25" s="84"/>
      <c r="DAC25" s="84"/>
      <c r="DAD25" s="84"/>
      <c r="DAE25" s="84"/>
      <c r="DAF25" s="84"/>
      <c r="DAG25" s="84"/>
      <c r="DAH25" s="84"/>
      <c r="DAI25" s="84"/>
      <c r="DAJ25" s="84"/>
      <c r="DAK25" s="84"/>
      <c r="DAL25" s="84"/>
      <c r="DAM25" s="84"/>
      <c r="DAN25" s="84"/>
      <c r="DAO25" s="84"/>
      <c r="DAP25" s="84"/>
      <c r="DAQ25" s="84"/>
      <c r="DAR25" s="84"/>
      <c r="DAS25" s="84"/>
      <c r="DAT25" s="84"/>
      <c r="DAU25" s="84"/>
      <c r="DAV25" s="84"/>
      <c r="DAW25" s="84"/>
      <c r="DAX25" s="84"/>
      <c r="DAY25" s="84"/>
      <c r="DAZ25" s="84"/>
      <c r="DBA25" s="84"/>
      <c r="DBB25" s="84"/>
      <c r="DBC25" s="84"/>
      <c r="DBD25" s="84"/>
      <c r="DBE25" s="84"/>
      <c r="DBF25" s="84"/>
      <c r="DBG25" s="84"/>
      <c r="DBH25" s="84"/>
      <c r="DBI25" s="84"/>
      <c r="DBJ25" s="84"/>
      <c r="DBK25" s="84"/>
      <c r="DBL25" s="84"/>
      <c r="DBM25" s="84"/>
      <c r="DBN25" s="84"/>
      <c r="DBO25" s="84"/>
      <c r="DBP25" s="84"/>
      <c r="DBQ25" s="84"/>
      <c r="DBR25" s="84"/>
      <c r="DBS25" s="84"/>
      <c r="DBT25" s="84"/>
      <c r="DBU25" s="84"/>
      <c r="DBV25" s="84"/>
      <c r="DBW25" s="84"/>
      <c r="DBX25" s="84"/>
      <c r="DBY25" s="84"/>
      <c r="DBZ25" s="84"/>
      <c r="DCA25" s="84"/>
      <c r="DCB25" s="84"/>
      <c r="DCC25" s="84"/>
      <c r="DCD25" s="84"/>
      <c r="DCE25" s="84"/>
      <c r="DCF25" s="84"/>
      <c r="DCG25" s="84"/>
      <c r="DCH25" s="84"/>
      <c r="DCI25" s="84"/>
      <c r="DCJ25" s="84"/>
      <c r="DCK25" s="84"/>
      <c r="DCL25" s="84"/>
      <c r="DCM25" s="84"/>
      <c r="DCN25" s="84"/>
      <c r="DCO25" s="84"/>
      <c r="DCP25" s="84"/>
      <c r="DCQ25" s="84"/>
      <c r="DCR25" s="84"/>
      <c r="DCS25" s="84"/>
      <c r="DCT25" s="84"/>
      <c r="DCU25" s="84"/>
      <c r="DCV25" s="84"/>
      <c r="DCW25" s="84"/>
      <c r="DCX25" s="84"/>
      <c r="DCY25" s="84"/>
      <c r="DCZ25" s="84"/>
      <c r="DDA25" s="84"/>
      <c r="DDB25" s="84"/>
      <c r="DDC25" s="84"/>
      <c r="DDD25" s="84"/>
      <c r="DDE25" s="84"/>
      <c r="DDF25" s="84"/>
      <c r="DDG25" s="84"/>
      <c r="DDH25" s="84"/>
      <c r="DDI25" s="84"/>
      <c r="DDJ25" s="84"/>
      <c r="DDK25" s="84"/>
      <c r="DDL25" s="84"/>
      <c r="DDM25" s="84"/>
      <c r="DDN25" s="84"/>
      <c r="DDO25" s="84"/>
      <c r="DDP25" s="84"/>
      <c r="DDQ25" s="84"/>
      <c r="DDR25" s="84"/>
      <c r="DDS25" s="84"/>
      <c r="DDT25" s="84"/>
      <c r="DDU25" s="84"/>
      <c r="DDV25" s="84"/>
      <c r="DDW25" s="84"/>
      <c r="DDX25" s="84"/>
      <c r="DDY25" s="84"/>
      <c r="DDZ25" s="84"/>
      <c r="DEA25" s="84"/>
      <c r="DEB25" s="84"/>
      <c r="DEC25" s="84"/>
      <c r="DED25" s="84"/>
      <c r="DEE25" s="84"/>
      <c r="DEF25" s="84"/>
      <c r="DEG25" s="84"/>
      <c r="DEH25" s="84"/>
      <c r="DEI25" s="84"/>
      <c r="DEJ25" s="84"/>
      <c r="DEK25" s="84"/>
      <c r="DEL25" s="84"/>
      <c r="DEM25" s="84"/>
      <c r="DEN25" s="84"/>
      <c r="DEO25" s="84"/>
      <c r="DEP25" s="84"/>
      <c r="DEQ25" s="84"/>
      <c r="DER25" s="84"/>
      <c r="DES25" s="84"/>
      <c r="DET25" s="84"/>
      <c r="DEU25" s="84"/>
      <c r="DEV25" s="84"/>
      <c r="DEW25" s="84"/>
      <c r="DEX25" s="84"/>
      <c r="DEY25" s="84"/>
      <c r="DEZ25" s="84"/>
      <c r="DFA25" s="84"/>
      <c r="DFB25" s="84"/>
      <c r="DFC25" s="84"/>
      <c r="DFD25" s="84"/>
      <c r="DFE25" s="84"/>
      <c r="DFF25" s="84"/>
      <c r="DFG25" s="84"/>
      <c r="DFH25" s="84"/>
      <c r="DFI25" s="84"/>
      <c r="DFJ25" s="84"/>
      <c r="DFK25" s="84"/>
      <c r="DFL25" s="84"/>
      <c r="DFM25" s="84"/>
      <c r="DFN25" s="84"/>
      <c r="DFO25" s="84"/>
      <c r="DFP25" s="84"/>
      <c r="DFQ25" s="84"/>
      <c r="DFR25" s="84"/>
      <c r="DFS25" s="84"/>
      <c r="DFT25" s="84"/>
      <c r="DFU25" s="84"/>
      <c r="DFV25" s="84"/>
      <c r="DFW25" s="84"/>
      <c r="DFX25" s="84"/>
      <c r="DFY25" s="84"/>
      <c r="DFZ25" s="84"/>
      <c r="DGA25" s="84"/>
      <c r="DGB25" s="84"/>
      <c r="DGC25" s="84"/>
      <c r="DGD25" s="84"/>
      <c r="DGE25" s="84"/>
      <c r="DGF25" s="84"/>
      <c r="DGG25" s="84"/>
      <c r="DGH25" s="84"/>
      <c r="DGI25" s="84"/>
      <c r="DGJ25" s="84"/>
      <c r="DGK25" s="84"/>
      <c r="DGL25" s="84"/>
      <c r="DGM25" s="84"/>
      <c r="DGN25" s="84"/>
      <c r="DGO25" s="84"/>
      <c r="DGP25" s="84"/>
      <c r="DGQ25" s="84"/>
      <c r="DGR25" s="84"/>
      <c r="DGS25" s="84"/>
      <c r="DGT25" s="84"/>
      <c r="DGU25" s="84"/>
      <c r="DGV25" s="84"/>
      <c r="DGW25" s="84"/>
      <c r="DGX25" s="84"/>
      <c r="DGY25" s="84"/>
      <c r="DGZ25" s="84"/>
      <c r="DHA25" s="84"/>
      <c r="DHB25" s="84"/>
      <c r="DHC25" s="84"/>
      <c r="DHD25" s="84"/>
      <c r="DHE25" s="84"/>
      <c r="DHF25" s="84"/>
      <c r="DHG25" s="84"/>
      <c r="DHH25" s="84"/>
      <c r="DHI25" s="84"/>
      <c r="DHJ25" s="84"/>
      <c r="DHK25" s="84"/>
      <c r="DHL25" s="84"/>
      <c r="DHM25" s="84"/>
      <c r="DHN25" s="84"/>
      <c r="DHO25" s="84"/>
      <c r="DHP25" s="84"/>
      <c r="DHQ25" s="84"/>
      <c r="DHR25" s="84"/>
      <c r="DHS25" s="84"/>
      <c r="DHT25" s="84"/>
      <c r="DHU25" s="84"/>
      <c r="DHV25" s="84"/>
      <c r="DHW25" s="84"/>
      <c r="DHX25" s="84"/>
      <c r="DHY25" s="84"/>
      <c r="DHZ25" s="84"/>
      <c r="DIA25" s="84"/>
      <c r="DIB25" s="84"/>
      <c r="DIC25" s="84"/>
      <c r="DID25" s="84"/>
      <c r="DIE25" s="84"/>
      <c r="DIF25" s="84"/>
      <c r="DIG25" s="84"/>
      <c r="DIH25" s="84"/>
      <c r="DII25" s="84"/>
      <c r="DIJ25" s="84"/>
      <c r="DIK25" s="84"/>
      <c r="DIL25" s="84"/>
      <c r="DIM25" s="84"/>
      <c r="DIN25" s="84"/>
      <c r="DIO25" s="84"/>
      <c r="DIP25" s="84"/>
      <c r="DIQ25" s="84"/>
      <c r="DIR25" s="84"/>
      <c r="DIS25" s="84"/>
      <c r="DIT25" s="84"/>
      <c r="DIU25" s="84"/>
      <c r="DIV25" s="84"/>
      <c r="DIW25" s="84"/>
      <c r="DIX25" s="84"/>
      <c r="DIY25" s="84"/>
      <c r="DIZ25" s="84"/>
      <c r="DJA25" s="84"/>
      <c r="DJB25" s="84"/>
      <c r="DJC25" s="84"/>
      <c r="DJD25" s="84"/>
      <c r="DJE25" s="84"/>
      <c r="DJF25" s="84"/>
      <c r="DJG25" s="84"/>
      <c r="DJH25" s="84"/>
      <c r="DJI25" s="84"/>
      <c r="DJJ25" s="84"/>
      <c r="DJK25" s="84"/>
      <c r="DJL25" s="84"/>
      <c r="DJM25" s="84"/>
      <c r="DJN25" s="84"/>
      <c r="DJO25" s="84"/>
      <c r="DJP25" s="84"/>
      <c r="DJQ25" s="84"/>
      <c r="DJR25" s="84"/>
      <c r="DJS25" s="84"/>
      <c r="DJT25" s="84"/>
      <c r="DJU25" s="84"/>
      <c r="DJV25" s="84"/>
      <c r="DJW25" s="84"/>
      <c r="DJX25" s="84"/>
      <c r="DJY25" s="84"/>
      <c r="DJZ25" s="84"/>
      <c r="DKA25" s="84"/>
      <c r="DKB25" s="84"/>
      <c r="DKC25" s="84"/>
      <c r="DKD25" s="84"/>
      <c r="DKE25" s="84"/>
      <c r="DKF25" s="84"/>
      <c r="DKG25" s="84"/>
      <c r="DKH25" s="84"/>
      <c r="DKI25" s="84"/>
      <c r="DKJ25" s="84"/>
      <c r="DKK25" s="84"/>
      <c r="DKL25" s="84"/>
      <c r="DKM25" s="84"/>
      <c r="DKN25" s="84"/>
      <c r="DKO25" s="84"/>
      <c r="DKP25" s="84"/>
      <c r="DKQ25" s="84"/>
      <c r="DKR25" s="84"/>
      <c r="DKS25" s="84"/>
      <c r="DKT25" s="84"/>
      <c r="DKU25" s="84"/>
      <c r="DKV25" s="84"/>
      <c r="DKW25" s="84"/>
      <c r="DKX25" s="84"/>
      <c r="DKY25" s="84"/>
      <c r="DKZ25" s="84"/>
      <c r="DLA25" s="84"/>
      <c r="DLB25" s="84"/>
      <c r="DLC25" s="84"/>
      <c r="DLD25" s="84"/>
      <c r="DLE25" s="84"/>
      <c r="DLF25" s="84"/>
      <c r="DLG25" s="84"/>
      <c r="DLH25" s="84"/>
      <c r="DLI25" s="84"/>
      <c r="DLJ25" s="84"/>
      <c r="DLK25" s="84"/>
      <c r="DLL25" s="84"/>
      <c r="DLM25" s="84"/>
      <c r="DLN25" s="84"/>
      <c r="DLO25" s="84"/>
      <c r="DLP25" s="84"/>
      <c r="DLQ25" s="84"/>
      <c r="DLR25" s="84"/>
      <c r="DLS25" s="84"/>
      <c r="DLT25" s="84"/>
      <c r="DLU25" s="84"/>
      <c r="DLV25" s="84"/>
      <c r="DLW25" s="84"/>
      <c r="DLX25" s="84"/>
      <c r="DLY25" s="84"/>
      <c r="DLZ25" s="84"/>
      <c r="DMA25" s="84"/>
      <c r="DMB25" s="84"/>
      <c r="DMC25" s="84"/>
      <c r="DMD25" s="84"/>
      <c r="DME25" s="84"/>
      <c r="DMF25" s="84"/>
      <c r="DMG25" s="84"/>
      <c r="DMH25" s="84"/>
      <c r="DMI25" s="84"/>
      <c r="DMJ25" s="84"/>
      <c r="DMK25" s="84"/>
      <c r="DML25" s="84"/>
      <c r="DMM25" s="84"/>
      <c r="DMN25" s="84"/>
      <c r="DMO25" s="84"/>
      <c r="DMP25" s="84"/>
      <c r="DMQ25" s="84"/>
      <c r="DMR25" s="84"/>
      <c r="DMS25" s="84"/>
      <c r="DMT25" s="84"/>
      <c r="DMU25" s="84"/>
      <c r="DMV25" s="84"/>
      <c r="DMW25" s="84"/>
      <c r="DMX25" s="84"/>
      <c r="DMY25" s="84"/>
      <c r="DMZ25" s="84"/>
      <c r="DNA25" s="84"/>
      <c r="DNB25" s="84"/>
      <c r="DNC25" s="84"/>
      <c r="DND25" s="84"/>
      <c r="DNE25" s="84"/>
      <c r="DNF25" s="84"/>
      <c r="DNG25" s="84"/>
      <c r="DNH25" s="84"/>
      <c r="DNI25" s="84"/>
      <c r="DNJ25" s="84"/>
      <c r="DNK25" s="84"/>
      <c r="DNL25" s="84"/>
      <c r="DNM25" s="84"/>
      <c r="DNN25" s="84"/>
      <c r="DNO25" s="84"/>
      <c r="DNP25" s="84"/>
      <c r="DNQ25" s="84"/>
      <c r="DNR25" s="84"/>
      <c r="DNS25" s="84"/>
      <c r="DNT25" s="84"/>
      <c r="DNU25" s="84"/>
      <c r="DNV25" s="84"/>
      <c r="DNW25" s="84"/>
      <c r="DNX25" s="84"/>
      <c r="DNY25" s="84"/>
      <c r="DNZ25" s="84"/>
      <c r="DOA25" s="84"/>
      <c r="DOB25" s="84"/>
      <c r="DOC25" s="84"/>
      <c r="DOD25" s="84"/>
      <c r="DOE25" s="84"/>
      <c r="DOF25" s="84"/>
      <c r="DOG25" s="84"/>
      <c r="DOH25" s="84"/>
      <c r="DOI25" s="84"/>
      <c r="DOJ25" s="84"/>
      <c r="DOK25" s="84"/>
      <c r="DOL25" s="84"/>
      <c r="DOM25" s="84"/>
      <c r="DON25" s="84"/>
      <c r="DOO25" s="84"/>
      <c r="DOP25" s="84"/>
      <c r="DOQ25" s="84"/>
      <c r="DOR25" s="84"/>
      <c r="DOS25" s="84"/>
      <c r="DOT25" s="84"/>
      <c r="DOU25" s="84"/>
      <c r="DOV25" s="84"/>
      <c r="DOW25" s="84"/>
      <c r="DOX25" s="84"/>
      <c r="DOY25" s="84"/>
      <c r="DOZ25" s="84"/>
      <c r="DPA25" s="84"/>
      <c r="DPB25" s="84"/>
      <c r="DPC25" s="84"/>
      <c r="DPD25" s="84"/>
      <c r="DPE25" s="84"/>
      <c r="DPF25" s="84"/>
      <c r="DPG25" s="84"/>
      <c r="DPH25" s="84"/>
      <c r="DPI25" s="84"/>
      <c r="DPJ25" s="84"/>
      <c r="DPK25" s="84"/>
      <c r="DPL25" s="84"/>
      <c r="DPM25" s="84"/>
      <c r="DPN25" s="84"/>
      <c r="DPO25" s="84"/>
      <c r="DPP25" s="84"/>
      <c r="DPQ25" s="84"/>
      <c r="DPR25" s="84"/>
      <c r="DPS25" s="84"/>
      <c r="DPT25" s="84"/>
      <c r="DPU25" s="84"/>
      <c r="DPV25" s="84"/>
      <c r="DPW25" s="84"/>
      <c r="DPX25" s="84"/>
      <c r="DPY25" s="84"/>
      <c r="DPZ25" s="84"/>
      <c r="DQA25" s="84"/>
      <c r="DQB25" s="84"/>
      <c r="DQC25" s="84"/>
      <c r="DQD25" s="84"/>
      <c r="DQE25" s="84"/>
      <c r="DQF25" s="84"/>
      <c r="DQG25" s="84"/>
      <c r="DQH25" s="84"/>
      <c r="DQI25" s="84"/>
      <c r="DQJ25" s="84"/>
      <c r="DQK25" s="84"/>
      <c r="DQL25" s="84"/>
      <c r="DQM25" s="84"/>
      <c r="DQN25" s="84"/>
      <c r="DQO25" s="84"/>
      <c r="DQP25" s="84"/>
      <c r="DQQ25" s="84"/>
      <c r="DQR25" s="84"/>
      <c r="DQS25" s="84"/>
      <c r="DQT25" s="84"/>
      <c r="DQU25" s="84"/>
      <c r="DQV25" s="84"/>
      <c r="DQW25" s="84"/>
      <c r="DQX25" s="84"/>
      <c r="DQY25" s="84"/>
      <c r="DQZ25" s="84"/>
      <c r="DRA25" s="84"/>
      <c r="DRB25" s="84"/>
      <c r="DRC25" s="84"/>
      <c r="DRD25" s="84"/>
      <c r="DRE25" s="84"/>
      <c r="DRF25" s="84"/>
      <c r="DRG25" s="84"/>
      <c r="DRH25" s="84"/>
      <c r="DRI25" s="84"/>
      <c r="DRJ25" s="84"/>
      <c r="DRK25" s="84"/>
      <c r="DRL25" s="84"/>
      <c r="DRM25" s="84"/>
      <c r="DRN25" s="84"/>
      <c r="DRO25" s="84"/>
      <c r="DRP25" s="84"/>
      <c r="DRQ25" s="84"/>
      <c r="DRR25" s="84"/>
      <c r="DRS25" s="84"/>
      <c r="DRT25" s="84"/>
      <c r="DRU25" s="84"/>
      <c r="DRV25" s="84"/>
      <c r="DRW25" s="84"/>
      <c r="DRX25" s="84"/>
      <c r="DRY25" s="84"/>
      <c r="DRZ25" s="84"/>
      <c r="DSA25" s="84"/>
      <c r="DSB25" s="84"/>
      <c r="DSC25" s="84"/>
      <c r="DSD25" s="84"/>
      <c r="DSE25" s="84"/>
      <c r="DSF25" s="84"/>
      <c r="DSG25" s="84"/>
      <c r="DSH25" s="84"/>
      <c r="DSI25" s="84"/>
      <c r="DSJ25" s="84"/>
      <c r="DSK25" s="84"/>
      <c r="DSL25" s="84"/>
      <c r="DSM25" s="84"/>
      <c r="DSN25" s="84"/>
      <c r="DSO25" s="84"/>
      <c r="DSP25" s="84"/>
      <c r="DSQ25" s="84"/>
      <c r="DSR25" s="84"/>
      <c r="DSS25" s="84"/>
      <c r="DST25" s="84"/>
      <c r="DSU25" s="84"/>
      <c r="DSV25" s="84"/>
      <c r="DSW25" s="84"/>
      <c r="DSX25" s="84"/>
      <c r="DSY25" s="84"/>
      <c r="DSZ25" s="84"/>
      <c r="DTA25" s="84"/>
      <c r="DTB25" s="84"/>
      <c r="DTC25" s="84"/>
      <c r="DTD25" s="84"/>
      <c r="DTE25" s="84"/>
      <c r="DTF25" s="84"/>
      <c r="DTG25" s="84"/>
      <c r="DTH25" s="84"/>
      <c r="DTI25" s="84"/>
      <c r="DTJ25" s="84"/>
      <c r="DTK25" s="84"/>
      <c r="DTL25" s="84"/>
      <c r="DTM25" s="84"/>
      <c r="DTN25" s="84"/>
      <c r="DTO25" s="84"/>
      <c r="DTP25" s="84"/>
      <c r="DTQ25" s="84"/>
      <c r="DTR25" s="84"/>
      <c r="DTS25" s="84"/>
      <c r="DTT25" s="84"/>
      <c r="DTU25" s="84"/>
      <c r="DTV25" s="84"/>
      <c r="DTW25" s="84"/>
      <c r="DTX25" s="84"/>
      <c r="DTY25" s="84"/>
      <c r="DTZ25" s="84"/>
      <c r="DUA25" s="84"/>
      <c r="DUB25" s="84"/>
      <c r="DUC25" s="84"/>
      <c r="DUD25" s="84"/>
      <c r="DUE25" s="84"/>
      <c r="DUF25" s="84"/>
      <c r="DUG25" s="84"/>
      <c r="DUH25" s="84"/>
      <c r="DUI25" s="84"/>
      <c r="DUJ25" s="84"/>
      <c r="DUK25" s="84"/>
      <c r="DUL25" s="84"/>
      <c r="DUM25" s="84"/>
      <c r="DUN25" s="84"/>
      <c r="DUO25" s="84"/>
      <c r="DUP25" s="84"/>
      <c r="DUQ25" s="84"/>
      <c r="DUR25" s="84"/>
      <c r="DUS25" s="84"/>
      <c r="DUT25" s="84"/>
      <c r="DUU25" s="84"/>
      <c r="DUV25" s="84"/>
      <c r="DUW25" s="84"/>
      <c r="DUX25" s="84"/>
      <c r="DUY25" s="84"/>
      <c r="DUZ25" s="84"/>
      <c r="DVA25" s="84"/>
      <c r="DVB25" s="84"/>
      <c r="DVC25" s="84"/>
      <c r="DVD25" s="84"/>
      <c r="DVE25" s="84"/>
      <c r="DVF25" s="84"/>
      <c r="DVG25" s="84"/>
      <c r="DVH25" s="84"/>
      <c r="DVI25" s="84"/>
      <c r="DVJ25" s="84"/>
      <c r="DVK25" s="84"/>
      <c r="DVL25" s="84"/>
      <c r="DVM25" s="84"/>
      <c r="DVN25" s="84"/>
      <c r="DVO25" s="84"/>
      <c r="DVP25" s="84"/>
      <c r="DVQ25" s="84"/>
      <c r="DVR25" s="84"/>
      <c r="DVS25" s="84"/>
      <c r="DVT25" s="84"/>
      <c r="DVU25" s="84"/>
      <c r="DVV25" s="84"/>
      <c r="DVW25" s="84"/>
      <c r="DVX25" s="84"/>
      <c r="DVY25" s="84"/>
      <c r="DVZ25" s="84"/>
      <c r="DWA25" s="84"/>
      <c r="DWB25" s="84"/>
      <c r="DWC25" s="84"/>
      <c r="DWD25" s="84"/>
      <c r="DWE25" s="84"/>
      <c r="DWF25" s="84"/>
      <c r="DWG25" s="84"/>
      <c r="DWH25" s="84"/>
      <c r="DWI25" s="84"/>
      <c r="DWJ25" s="84"/>
      <c r="DWK25" s="84"/>
      <c r="DWL25" s="84"/>
      <c r="DWM25" s="84"/>
      <c r="DWN25" s="84"/>
      <c r="DWO25" s="84"/>
      <c r="DWP25" s="84"/>
      <c r="DWQ25" s="84"/>
      <c r="DWR25" s="84"/>
      <c r="DWS25" s="84"/>
      <c r="DWT25" s="84"/>
      <c r="DWU25" s="84"/>
      <c r="DWV25" s="84"/>
      <c r="DWW25" s="84"/>
      <c r="DWX25" s="84"/>
      <c r="DWY25" s="84"/>
      <c r="DWZ25" s="84"/>
      <c r="DXA25" s="84"/>
      <c r="DXB25" s="84"/>
      <c r="DXC25" s="84"/>
      <c r="DXD25" s="84"/>
      <c r="DXE25" s="84"/>
      <c r="DXF25" s="84"/>
      <c r="DXG25" s="84"/>
      <c r="DXH25" s="84"/>
      <c r="DXI25" s="84"/>
      <c r="DXJ25" s="84"/>
      <c r="DXK25" s="84"/>
      <c r="DXL25" s="84"/>
      <c r="DXM25" s="84"/>
      <c r="DXN25" s="84"/>
      <c r="DXO25" s="84"/>
      <c r="DXP25" s="84"/>
      <c r="DXQ25" s="84"/>
      <c r="DXR25" s="84"/>
      <c r="DXS25" s="84"/>
      <c r="DXT25" s="84"/>
      <c r="DXU25" s="84"/>
      <c r="DXV25" s="84"/>
      <c r="DXW25" s="84"/>
      <c r="DXX25" s="84"/>
      <c r="DXY25" s="84"/>
      <c r="DXZ25" s="84"/>
      <c r="DYA25" s="84"/>
      <c r="DYB25" s="84"/>
      <c r="DYC25" s="84"/>
      <c r="DYD25" s="84"/>
      <c r="DYE25" s="84"/>
      <c r="DYF25" s="84"/>
      <c r="DYG25" s="84"/>
      <c r="DYH25" s="84"/>
      <c r="DYI25" s="84"/>
      <c r="DYJ25" s="84"/>
      <c r="DYK25" s="84"/>
      <c r="DYL25" s="84"/>
      <c r="DYM25" s="84"/>
      <c r="DYN25" s="84"/>
      <c r="DYO25" s="84"/>
      <c r="DYP25" s="84"/>
      <c r="DYQ25" s="84"/>
      <c r="DYR25" s="84"/>
      <c r="DYS25" s="84"/>
      <c r="DYT25" s="84"/>
      <c r="DYU25" s="84"/>
      <c r="DYV25" s="84"/>
      <c r="DYW25" s="84"/>
      <c r="DYX25" s="84"/>
      <c r="DYY25" s="84"/>
      <c r="DYZ25" s="84"/>
      <c r="DZA25" s="84"/>
      <c r="DZB25" s="84"/>
      <c r="DZC25" s="84"/>
      <c r="DZD25" s="84"/>
      <c r="DZE25" s="84"/>
      <c r="DZF25" s="84"/>
      <c r="DZG25" s="84"/>
      <c r="DZH25" s="84"/>
      <c r="DZI25" s="84"/>
      <c r="DZJ25" s="84"/>
      <c r="DZK25" s="84"/>
      <c r="DZL25" s="84"/>
      <c r="DZM25" s="84"/>
      <c r="DZN25" s="84"/>
      <c r="DZO25" s="84"/>
      <c r="DZP25" s="84"/>
      <c r="DZQ25" s="84"/>
      <c r="DZR25" s="84"/>
      <c r="DZS25" s="84"/>
      <c r="DZT25" s="84"/>
      <c r="DZU25" s="84"/>
      <c r="DZV25" s="84"/>
      <c r="DZW25" s="84"/>
      <c r="DZX25" s="84"/>
      <c r="DZY25" s="84"/>
      <c r="DZZ25" s="84"/>
      <c r="EAA25" s="84"/>
      <c r="EAB25" s="84"/>
      <c r="EAC25" s="84"/>
      <c r="EAD25" s="84"/>
      <c r="EAE25" s="84"/>
      <c r="EAF25" s="84"/>
      <c r="EAG25" s="84"/>
      <c r="EAH25" s="84"/>
      <c r="EAI25" s="84"/>
      <c r="EAJ25" s="84"/>
      <c r="EAK25" s="84"/>
      <c r="EAL25" s="84"/>
      <c r="EAM25" s="84"/>
      <c r="EAN25" s="84"/>
      <c r="EAO25" s="84"/>
      <c r="EAP25" s="84"/>
      <c r="EAQ25" s="84"/>
      <c r="EAR25" s="84"/>
      <c r="EAS25" s="84"/>
      <c r="EAT25" s="84"/>
      <c r="EAU25" s="84"/>
      <c r="EAV25" s="84"/>
      <c r="EAW25" s="84"/>
      <c r="EAX25" s="84"/>
      <c r="EAY25" s="84"/>
      <c r="EAZ25" s="84"/>
      <c r="EBA25" s="84"/>
      <c r="EBB25" s="84"/>
      <c r="EBC25" s="84"/>
      <c r="EBD25" s="84"/>
      <c r="EBE25" s="84"/>
      <c r="EBF25" s="84"/>
      <c r="EBG25" s="84"/>
      <c r="EBH25" s="84"/>
      <c r="EBI25" s="84"/>
      <c r="EBJ25" s="84"/>
      <c r="EBK25" s="84"/>
      <c r="EBL25" s="84"/>
      <c r="EBM25" s="84"/>
      <c r="EBN25" s="84"/>
      <c r="EBO25" s="84"/>
      <c r="EBP25" s="84"/>
      <c r="EBQ25" s="84"/>
      <c r="EBR25" s="84"/>
      <c r="EBS25" s="84"/>
      <c r="EBT25" s="84"/>
      <c r="EBU25" s="84"/>
      <c r="EBV25" s="84"/>
      <c r="EBW25" s="84"/>
      <c r="EBX25" s="84"/>
      <c r="EBY25" s="84"/>
      <c r="EBZ25" s="84"/>
      <c r="ECA25" s="84"/>
      <c r="ECB25" s="84"/>
      <c r="ECC25" s="84"/>
      <c r="ECD25" s="84"/>
      <c r="ECE25" s="84"/>
      <c r="ECF25" s="84"/>
      <c r="ECG25" s="84"/>
      <c r="ECH25" s="84"/>
      <c r="ECI25" s="84"/>
      <c r="ECJ25" s="84"/>
      <c r="ECK25" s="84"/>
      <c r="ECL25" s="84"/>
      <c r="ECM25" s="84"/>
      <c r="ECN25" s="84"/>
      <c r="ECO25" s="84"/>
      <c r="ECP25" s="84"/>
      <c r="ECQ25" s="84"/>
      <c r="ECR25" s="84"/>
      <c r="ECS25" s="84"/>
      <c r="ECT25" s="84"/>
      <c r="ECU25" s="84"/>
      <c r="ECV25" s="84"/>
      <c r="ECW25" s="84"/>
      <c r="ECX25" s="84"/>
      <c r="ECY25" s="84"/>
      <c r="ECZ25" s="84"/>
      <c r="EDA25" s="84"/>
      <c r="EDB25" s="84"/>
      <c r="EDC25" s="84"/>
      <c r="EDD25" s="84"/>
      <c r="EDE25" s="84"/>
      <c r="EDF25" s="84"/>
      <c r="EDG25" s="84"/>
      <c r="EDH25" s="84"/>
      <c r="EDI25" s="84"/>
      <c r="EDJ25" s="84"/>
      <c r="EDK25" s="84"/>
      <c r="EDL25" s="84"/>
      <c r="EDM25" s="84"/>
      <c r="EDN25" s="84"/>
      <c r="EDO25" s="84"/>
      <c r="EDP25" s="84"/>
      <c r="EDQ25" s="84"/>
      <c r="EDR25" s="84"/>
      <c r="EDS25" s="84"/>
      <c r="EDT25" s="84"/>
      <c r="EDU25" s="84"/>
      <c r="EDV25" s="84"/>
      <c r="EDW25" s="84"/>
      <c r="EDX25" s="84"/>
      <c r="EDY25" s="84"/>
      <c r="EDZ25" s="84"/>
      <c r="EEA25" s="84"/>
      <c r="EEB25" s="84"/>
      <c r="EEC25" s="84"/>
      <c r="EED25" s="84"/>
      <c r="EEE25" s="84"/>
      <c r="EEF25" s="84"/>
      <c r="EEG25" s="84"/>
      <c r="EEH25" s="84"/>
      <c r="EEI25" s="84"/>
      <c r="EEJ25" s="84"/>
      <c r="EEK25" s="84"/>
      <c r="EEL25" s="84"/>
      <c r="EEM25" s="84"/>
      <c r="EEN25" s="84"/>
      <c r="EEO25" s="84"/>
      <c r="EEP25" s="84"/>
      <c r="EEQ25" s="84"/>
      <c r="EER25" s="84"/>
      <c r="EES25" s="84"/>
      <c r="EET25" s="84"/>
      <c r="EEU25" s="84"/>
      <c r="EEV25" s="84"/>
      <c r="EEW25" s="84"/>
      <c r="EEX25" s="84"/>
      <c r="EEY25" s="84"/>
      <c r="EEZ25" s="84"/>
      <c r="EFA25" s="84"/>
      <c r="EFB25" s="84"/>
      <c r="EFC25" s="84"/>
      <c r="EFD25" s="84"/>
      <c r="EFE25" s="84"/>
      <c r="EFF25" s="84"/>
      <c r="EFG25" s="84"/>
      <c r="EFH25" s="84"/>
      <c r="EFI25" s="84"/>
      <c r="EFJ25" s="84"/>
      <c r="EFK25" s="84"/>
      <c r="EFL25" s="84"/>
      <c r="EFM25" s="84"/>
      <c r="EFN25" s="84"/>
      <c r="EFO25" s="84"/>
      <c r="EFP25" s="84"/>
      <c r="EFQ25" s="84"/>
      <c r="EFR25" s="84"/>
      <c r="EFS25" s="84"/>
      <c r="EFT25" s="84"/>
      <c r="EFU25" s="84"/>
      <c r="EFV25" s="84"/>
      <c r="EFW25" s="84"/>
      <c r="EFX25" s="84"/>
      <c r="EFY25" s="84"/>
      <c r="EFZ25" s="84"/>
      <c r="EGA25" s="84"/>
      <c r="EGB25" s="84"/>
      <c r="EGC25" s="84"/>
      <c r="EGD25" s="84"/>
      <c r="EGE25" s="84"/>
      <c r="EGF25" s="84"/>
      <c r="EGG25" s="84"/>
      <c r="EGH25" s="84"/>
      <c r="EGI25" s="84"/>
      <c r="EGJ25" s="84"/>
      <c r="EGK25" s="84"/>
      <c r="EGL25" s="84"/>
      <c r="EGM25" s="84"/>
      <c r="EGN25" s="84"/>
      <c r="EGO25" s="84"/>
      <c r="EGP25" s="84"/>
      <c r="EGQ25" s="84"/>
      <c r="EGR25" s="84"/>
      <c r="EGS25" s="84"/>
      <c r="EGT25" s="84"/>
      <c r="EGU25" s="84"/>
      <c r="EGV25" s="84"/>
      <c r="EGW25" s="84"/>
      <c r="EGX25" s="84"/>
      <c r="EGY25" s="84"/>
      <c r="EGZ25" s="84"/>
      <c r="EHA25" s="84"/>
      <c r="EHB25" s="84"/>
      <c r="EHC25" s="84"/>
      <c r="EHD25" s="84"/>
      <c r="EHE25" s="84"/>
      <c r="EHF25" s="84"/>
      <c r="EHG25" s="84"/>
      <c r="EHH25" s="84"/>
      <c r="EHI25" s="84"/>
      <c r="EHJ25" s="84"/>
      <c r="EHK25" s="84"/>
      <c r="EHL25" s="84"/>
      <c r="EHM25" s="84"/>
      <c r="EHN25" s="84"/>
      <c r="EHO25" s="84"/>
      <c r="EHP25" s="84"/>
      <c r="EHQ25" s="84"/>
      <c r="EHR25" s="84"/>
      <c r="EHS25" s="84"/>
      <c r="EHT25" s="84"/>
      <c r="EHU25" s="84"/>
      <c r="EHV25" s="84"/>
      <c r="EHW25" s="84"/>
      <c r="EHX25" s="84"/>
      <c r="EHY25" s="84"/>
      <c r="EHZ25" s="84"/>
      <c r="EIA25" s="84"/>
      <c r="EIB25" s="84"/>
      <c r="EIC25" s="84"/>
      <c r="EID25" s="84"/>
      <c r="EIE25" s="84"/>
      <c r="EIF25" s="84"/>
      <c r="EIG25" s="84"/>
      <c r="EIH25" s="84"/>
      <c r="EII25" s="84"/>
      <c r="EIJ25" s="84"/>
      <c r="EIK25" s="84"/>
      <c r="EIL25" s="84"/>
      <c r="EIM25" s="84"/>
      <c r="EIN25" s="84"/>
      <c r="EIO25" s="84"/>
      <c r="EIP25" s="84"/>
      <c r="EIQ25" s="84"/>
      <c r="EIR25" s="84"/>
      <c r="EIS25" s="84"/>
      <c r="EIT25" s="84"/>
      <c r="EIU25" s="84"/>
      <c r="EIV25" s="84"/>
      <c r="EIW25" s="84"/>
      <c r="EIX25" s="84"/>
      <c r="EIY25" s="84"/>
      <c r="EIZ25" s="84"/>
      <c r="EJA25" s="84"/>
      <c r="EJB25" s="84"/>
      <c r="EJC25" s="84"/>
      <c r="EJD25" s="84"/>
      <c r="EJE25" s="84"/>
      <c r="EJF25" s="84"/>
      <c r="EJG25" s="84"/>
      <c r="EJH25" s="84"/>
      <c r="EJI25" s="84"/>
      <c r="EJJ25" s="84"/>
      <c r="EJK25" s="84"/>
      <c r="EJL25" s="84"/>
      <c r="EJM25" s="84"/>
      <c r="EJN25" s="84"/>
      <c r="EJO25" s="84"/>
      <c r="EJP25" s="84"/>
      <c r="EJQ25" s="84"/>
      <c r="EJR25" s="84"/>
      <c r="EJS25" s="84"/>
      <c r="EJT25" s="84"/>
      <c r="EJU25" s="84"/>
      <c r="EJV25" s="84"/>
      <c r="EJW25" s="84"/>
      <c r="EJX25" s="84"/>
      <c r="EJY25" s="84"/>
      <c r="EJZ25" s="84"/>
      <c r="EKA25" s="84"/>
      <c r="EKB25" s="84"/>
      <c r="EKC25" s="84"/>
      <c r="EKD25" s="84"/>
      <c r="EKE25" s="84"/>
      <c r="EKF25" s="84"/>
      <c r="EKG25" s="84"/>
      <c r="EKH25" s="84"/>
      <c r="EKI25" s="84"/>
      <c r="EKJ25" s="84"/>
      <c r="EKK25" s="84"/>
      <c r="EKL25" s="84"/>
      <c r="EKM25" s="84"/>
      <c r="EKN25" s="84"/>
      <c r="EKO25" s="84"/>
      <c r="EKP25" s="84"/>
      <c r="EKQ25" s="84"/>
      <c r="EKR25" s="84"/>
      <c r="EKS25" s="84"/>
      <c r="EKT25" s="84"/>
      <c r="EKU25" s="84"/>
      <c r="EKV25" s="84"/>
      <c r="EKW25" s="84"/>
      <c r="EKX25" s="84"/>
      <c r="EKY25" s="84"/>
      <c r="EKZ25" s="84"/>
      <c r="ELA25" s="84"/>
      <c r="ELB25" s="84"/>
      <c r="ELC25" s="84"/>
      <c r="ELD25" s="84"/>
      <c r="ELE25" s="84"/>
      <c r="ELF25" s="84"/>
      <c r="ELG25" s="84"/>
      <c r="ELH25" s="84"/>
      <c r="ELI25" s="84"/>
      <c r="ELJ25" s="84"/>
      <c r="ELK25" s="84"/>
      <c r="ELL25" s="84"/>
      <c r="ELM25" s="84"/>
      <c r="ELN25" s="84"/>
      <c r="ELO25" s="84"/>
      <c r="ELP25" s="84"/>
      <c r="ELQ25" s="84"/>
      <c r="ELR25" s="84"/>
      <c r="ELS25" s="84"/>
      <c r="ELT25" s="84"/>
      <c r="ELU25" s="84"/>
      <c r="ELV25" s="84"/>
      <c r="ELW25" s="84"/>
      <c r="ELX25" s="84"/>
      <c r="ELY25" s="84"/>
      <c r="ELZ25" s="84"/>
      <c r="EMA25" s="84"/>
      <c r="EMB25" s="84"/>
      <c r="EMC25" s="84"/>
      <c r="EMD25" s="84"/>
      <c r="EME25" s="84"/>
      <c r="EMF25" s="84"/>
      <c r="EMG25" s="84"/>
      <c r="EMH25" s="84"/>
      <c r="EMI25" s="84"/>
      <c r="EMJ25" s="84"/>
      <c r="EMK25" s="84"/>
      <c r="EML25" s="84"/>
      <c r="EMM25" s="84"/>
      <c r="EMN25" s="84"/>
      <c r="EMO25" s="84"/>
      <c r="EMP25" s="84"/>
      <c r="EMQ25" s="84"/>
      <c r="EMR25" s="84"/>
      <c r="EMS25" s="84"/>
      <c r="EMT25" s="84"/>
      <c r="EMU25" s="84"/>
      <c r="EMV25" s="84"/>
      <c r="EMW25" s="84"/>
      <c r="EMX25" s="84"/>
      <c r="EMY25" s="84"/>
      <c r="EMZ25" s="84"/>
      <c r="ENA25" s="84"/>
      <c r="ENB25" s="84"/>
      <c r="ENC25" s="84"/>
      <c r="END25" s="84"/>
      <c r="ENE25" s="84"/>
      <c r="ENF25" s="84"/>
      <c r="ENG25" s="84"/>
      <c r="ENH25" s="84"/>
      <c r="ENI25" s="84"/>
      <c r="ENJ25" s="84"/>
      <c r="ENK25" s="84"/>
      <c r="ENL25" s="84"/>
      <c r="ENM25" s="84"/>
      <c r="ENN25" s="84"/>
      <c r="ENO25" s="84"/>
      <c r="ENP25" s="84"/>
      <c r="ENQ25" s="84"/>
      <c r="ENR25" s="84"/>
      <c r="ENS25" s="84"/>
      <c r="ENT25" s="84"/>
      <c r="ENU25" s="84"/>
      <c r="ENV25" s="84"/>
      <c r="ENW25" s="84"/>
      <c r="ENX25" s="84"/>
      <c r="ENY25" s="84"/>
      <c r="ENZ25" s="84"/>
      <c r="EOA25" s="84"/>
      <c r="EOB25" s="84"/>
      <c r="EOC25" s="84"/>
      <c r="EOD25" s="84"/>
      <c r="EOE25" s="84"/>
      <c r="EOF25" s="84"/>
      <c r="EOG25" s="84"/>
      <c r="EOH25" s="84"/>
      <c r="EOI25" s="84"/>
      <c r="EOJ25" s="84"/>
      <c r="EOK25" s="84"/>
      <c r="EOL25" s="84"/>
      <c r="EOM25" s="84"/>
      <c r="EON25" s="84"/>
      <c r="EOO25" s="84"/>
      <c r="EOP25" s="84"/>
      <c r="EOQ25" s="84"/>
      <c r="EOR25" s="84"/>
      <c r="EOS25" s="84"/>
      <c r="EOT25" s="84"/>
      <c r="EOU25" s="84"/>
      <c r="EOV25" s="84"/>
      <c r="EOW25" s="84"/>
      <c r="EOX25" s="84"/>
      <c r="EOY25" s="84"/>
      <c r="EOZ25" s="84"/>
      <c r="EPA25" s="84"/>
      <c r="EPB25" s="84"/>
      <c r="EPC25" s="84"/>
      <c r="EPD25" s="84"/>
      <c r="EPE25" s="84"/>
      <c r="EPF25" s="84"/>
      <c r="EPG25" s="84"/>
      <c r="EPH25" s="84"/>
      <c r="EPI25" s="84"/>
      <c r="EPJ25" s="84"/>
      <c r="EPK25" s="84"/>
      <c r="EPL25" s="84"/>
      <c r="EPM25" s="84"/>
      <c r="EPN25" s="84"/>
      <c r="EPO25" s="84"/>
      <c r="EPP25" s="84"/>
      <c r="EPQ25" s="84"/>
      <c r="EPR25" s="84"/>
      <c r="EPS25" s="84"/>
      <c r="EPT25" s="84"/>
      <c r="EPU25" s="84"/>
      <c r="EPV25" s="84"/>
      <c r="EPW25" s="84"/>
      <c r="EPX25" s="84"/>
      <c r="EPY25" s="84"/>
      <c r="EPZ25" s="84"/>
      <c r="EQA25" s="84"/>
      <c r="EQB25" s="84"/>
      <c r="EQC25" s="84"/>
      <c r="EQD25" s="84"/>
      <c r="EQE25" s="84"/>
      <c r="EQF25" s="84"/>
      <c r="EQG25" s="84"/>
      <c r="EQH25" s="84"/>
      <c r="EQI25" s="84"/>
      <c r="EQJ25" s="84"/>
      <c r="EQK25" s="84"/>
      <c r="EQL25" s="84"/>
      <c r="EQM25" s="84"/>
      <c r="EQN25" s="84"/>
      <c r="EQO25" s="84"/>
      <c r="EQP25" s="84"/>
      <c r="EQQ25" s="84"/>
      <c r="EQR25" s="84"/>
      <c r="EQS25" s="84"/>
      <c r="EQT25" s="84"/>
      <c r="EQU25" s="84"/>
      <c r="EQV25" s="84"/>
      <c r="EQW25" s="84"/>
      <c r="EQX25" s="84"/>
      <c r="EQY25" s="84"/>
      <c r="EQZ25" s="84"/>
      <c r="ERA25" s="84"/>
      <c r="ERB25" s="84"/>
      <c r="ERC25" s="84"/>
      <c r="ERD25" s="84"/>
      <c r="ERE25" s="84"/>
      <c r="ERF25" s="84"/>
      <c r="ERG25" s="84"/>
      <c r="ERH25" s="84"/>
      <c r="ERI25" s="84"/>
      <c r="ERJ25" s="84"/>
      <c r="ERK25" s="84"/>
      <c r="ERL25" s="84"/>
      <c r="ERM25" s="84"/>
      <c r="ERN25" s="84"/>
      <c r="ERO25" s="84"/>
      <c r="ERP25" s="84"/>
      <c r="ERQ25" s="84"/>
      <c r="ERR25" s="84"/>
      <c r="ERS25" s="84"/>
      <c r="ERT25" s="84"/>
      <c r="ERU25" s="84"/>
      <c r="ERV25" s="84"/>
      <c r="ERW25" s="84"/>
      <c r="ERX25" s="84"/>
      <c r="ERY25" s="84"/>
      <c r="ERZ25" s="84"/>
      <c r="ESA25" s="84"/>
      <c r="ESB25" s="84"/>
      <c r="ESC25" s="84"/>
      <c r="ESD25" s="84"/>
      <c r="ESE25" s="84"/>
      <c r="ESF25" s="84"/>
      <c r="ESG25" s="84"/>
      <c r="ESH25" s="84"/>
      <c r="ESI25" s="84"/>
      <c r="ESJ25" s="84"/>
      <c r="ESK25" s="84"/>
      <c r="ESL25" s="84"/>
      <c r="ESM25" s="84"/>
      <c r="ESN25" s="84"/>
      <c r="ESO25" s="84"/>
      <c r="ESP25" s="84"/>
      <c r="ESQ25" s="84"/>
      <c r="ESR25" s="84"/>
      <c r="ESS25" s="84"/>
      <c r="EST25" s="84"/>
      <c r="ESU25" s="84"/>
      <c r="ESV25" s="84"/>
      <c r="ESW25" s="84"/>
      <c r="ESX25" s="84"/>
      <c r="ESY25" s="84"/>
      <c r="ESZ25" s="84"/>
      <c r="ETA25" s="84"/>
      <c r="ETB25" s="84"/>
      <c r="ETC25" s="84"/>
      <c r="ETD25" s="84"/>
      <c r="ETE25" s="84"/>
      <c r="ETF25" s="84"/>
      <c r="ETG25" s="84"/>
      <c r="ETH25" s="84"/>
      <c r="ETI25" s="84"/>
      <c r="ETJ25" s="84"/>
      <c r="ETK25" s="84"/>
      <c r="ETL25" s="84"/>
      <c r="ETM25" s="84"/>
      <c r="ETN25" s="84"/>
      <c r="ETO25" s="84"/>
      <c r="ETP25" s="84"/>
      <c r="ETQ25" s="84"/>
      <c r="ETR25" s="84"/>
      <c r="ETS25" s="84"/>
      <c r="ETT25" s="84"/>
      <c r="ETU25" s="84"/>
      <c r="ETV25" s="84"/>
      <c r="ETW25" s="84"/>
      <c r="ETX25" s="84"/>
      <c r="ETY25" s="84"/>
      <c r="ETZ25" s="84"/>
      <c r="EUA25" s="84"/>
      <c r="EUB25" s="84"/>
      <c r="EUC25" s="84"/>
      <c r="EUD25" s="84"/>
      <c r="EUE25" s="84"/>
      <c r="EUF25" s="84"/>
      <c r="EUG25" s="84"/>
      <c r="EUH25" s="84"/>
      <c r="EUI25" s="84"/>
      <c r="EUJ25" s="84"/>
      <c r="EUK25" s="84"/>
      <c r="EUL25" s="84"/>
      <c r="EUM25" s="84"/>
      <c r="EUN25" s="84"/>
      <c r="EUO25" s="84"/>
      <c r="EUP25" s="84"/>
      <c r="EUQ25" s="84"/>
      <c r="EUR25" s="84"/>
      <c r="EUS25" s="84"/>
      <c r="EUT25" s="84"/>
      <c r="EUU25" s="84"/>
      <c r="EUV25" s="84"/>
      <c r="EUW25" s="84"/>
      <c r="EUX25" s="84"/>
      <c r="EUY25" s="84"/>
      <c r="EUZ25" s="84"/>
      <c r="EVA25" s="84"/>
      <c r="EVB25" s="84"/>
      <c r="EVC25" s="84"/>
      <c r="EVD25" s="84"/>
      <c r="EVE25" s="84"/>
      <c r="EVF25" s="84"/>
      <c r="EVG25" s="84"/>
      <c r="EVH25" s="84"/>
      <c r="EVI25" s="84"/>
      <c r="EVJ25" s="84"/>
      <c r="EVK25" s="84"/>
      <c r="EVL25" s="84"/>
      <c r="EVM25" s="84"/>
      <c r="EVN25" s="84"/>
      <c r="EVO25" s="84"/>
      <c r="EVP25" s="84"/>
      <c r="EVQ25" s="84"/>
      <c r="EVR25" s="84"/>
      <c r="EVS25" s="84"/>
      <c r="EVT25" s="84"/>
      <c r="EVU25" s="84"/>
      <c r="EVV25" s="84"/>
      <c r="EVW25" s="84"/>
      <c r="EVX25" s="84"/>
      <c r="EVY25" s="84"/>
      <c r="EVZ25" s="84"/>
      <c r="EWA25" s="84"/>
      <c r="EWB25" s="84"/>
      <c r="EWC25" s="84"/>
      <c r="EWD25" s="84"/>
      <c r="EWE25" s="84"/>
      <c r="EWF25" s="84"/>
      <c r="EWG25" s="84"/>
      <c r="EWH25" s="84"/>
      <c r="EWI25" s="84"/>
      <c r="EWJ25" s="84"/>
      <c r="EWK25" s="84"/>
      <c r="EWL25" s="84"/>
      <c r="EWM25" s="84"/>
      <c r="EWN25" s="84"/>
      <c r="EWO25" s="84"/>
      <c r="EWP25" s="84"/>
      <c r="EWQ25" s="84"/>
      <c r="EWR25" s="84"/>
      <c r="EWS25" s="84"/>
      <c r="EWT25" s="84"/>
      <c r="EWU25" s="84"/>
      <c r="EWV25" s="84"/>
      <c r="EWW25" s="84"/>
      <c r="EWX25" s="84"/>
      <c r="EWY25" s="84"/>
      <c r="EWZ25" s="84"/>
      <c r="EXA25" s="84"/>
      <c r="EXB25" s="84"/>
      <c r="EXC25" s="84"/>
      <c r="EXD25" s="84"/>
      <c r="EXE25" s="84"/>
      <c r="EXF25" s="84"/>
      <c r="EXG25" s="84"/>
      <c r="EXH25" s="84"/>
      <c r="EXI25" s="84"/>
      <c r="EXJ25" s="84"/>
      <c r="EXK25" s="84"/>
      <c r="EXL25" s="84"/>
      <c r="EXM25" s="84"/>
      <c r="EXN25" s="84"/>
      <c r="EXO25" s="84"/>
      <c r="EXP25" s="84"/>
      <c r="EXQ25" s="84"/>
      <c r="EXR25" s="84"/>
      <c r="EXS25" s="84"/>
      <c r="EXT25" s="84"/>
      <c r="EXU25" s="84"/>
      <c r="EXV25" s="84"/>
      <c r="EXW25" s="84"/>
      <c r="EXX25" s="84"/>
      <c r="EXY25" s="84"/>
      <c r="EXZ25" s="84"/>
      <c r="EYA25" s="84"/>
      <c r="EYB25" s="84"/>
      <c r="EYC25" s="84"/>
      <c r="EYD25" s="84"/>
      <c r="EYE25" s="84"/>
      <c r="EYF25" s="84"/>
      <c r="EYG25" s="84"/>
      <c r="EYH25" s="84"/>
      <c r="EYI25" s="84"/>
      <c r="EYJ25" s="84"/>
      <c r="EYK25" s="84"/>
      <c r="EYL25" s="84"/>
      <c r="EYM25" s="84"/>
      <c r="EYN25" s="84"/>
      <c r="EYO25" s="84"/>
      <c r="EYP25" s="84"/>
      <c r="EYQ25" s="84"/>
      <c r="EYR25" s="84"/>
      <c r="EYS25" s="84"/>
      <c r="EYT25" s="84"/>
      <c r="EYU25" s="84"/>
      <c r="EYV25" s="84"/>
      <c r="EYW25" s="84"/>
      <c r="EYX25" s="84"/>
      <c r="EYY25" s="84"/>
      <c r="EYZ25" s="84"/>
      <c r="EZA25" s="84"/>
      <c r="EZB25" s="84"/>
      <c r="EZC25" s="84"/>
      <c r="EZD25" s="84"/>
      <c r="EZE25" s="84"/>
      <c r="EZF25" s="84"/>
      <c r="EZG25" s="84"/>
      <c r="EZH25" s="84"/>
      <c r="EZI25" s="84"/>
      <c r="EZJ25" s="84"/>
      <c r="EZK25" s="84"/>
      <c r="EZL25" s="84"/>
      <c r="EZM25" s="84"/>
      <c r="EZN25" s="84"/>
      <c r="EZO25" s="84"/>
      <c r="EZP25" s="84"/>
      <c r="EZQ25" s="84"/>
      <c r="EZR25" s="84"/>
      <c r="EZS25" s="84"/>
      <c r="EZT25" s="84"/>
      <c r="EZU25" s="84"/>
      <c r="EZV25" s="84"/>
      <c r="EZW25" s="84"/>
      <c r="EZX25" s="84"/>
      <c r="EZY25" s="84"/>
      <c r="EZZ25" s="84"/>
      <c r="FAA25" s="84"/>
      <c r="FAB25" s="84"/>
      <c r="FAC25" s="84"/>
      <c r="FAD25" s="84"/>
      <c r="FAE25" s="84"/>
      <c r="FAF25" s="84"/>
      <c r="FAG25" s="84"/>
      <c r="FAH25" s="84"/>
      <c r="FAI25" s="84"/>
      <c r="FAJ25" s="84"/>
      <c r="FAK25" s="84"/>
      <c r="FAL25" s="84"/>
      <c r="FAM25" s="84"/>
      <c r="FAN25" s="84"/>
      <c r="FAO25" s="84"/>
      <c r="FAP25" s="84"/>
      <c r="FAQ25" s="84"/>
      <c r="FAR25" s="84"/>
      <c r="FAS25" s="84"/>
      <c r="FAT25" s="84"/>
      <c r="FAU25" s="84"/>
      <c r="FAV25" s="84"/>
      <c r="FAW25" s="84"/>
      <c r="FAX25" s="84"/>
      <c r="FAY25" s="84"/>
      <c r="FAZ25" s="84"/>
      <c r="FBA25" s="84"/>
      <c r="FBB25" s="84"/>
      <c r="FBC25" s="84"/>
      <c r="FBD25" s="84"/>
      <c r="FBE25" s="84"/>
      <c r="FBF25" s="84"/>
      <c r="FBG25" s="84"/>
      <c r="FBH25" s="84"/>
      <c r="FBI25" s="84"/>
      <c r="FBJ25" s="84"/>
      <c r="FBK25" s="84"/>
      <c r="FBL25" s="84"/>
      <c r="FBM25" s="84"/>
      <c r="FBN25" s="84"/>
      <c r="FBO25" s="84"/>
      <c r="FBP25" s="84"/>
      <c r="FBQ25" s="84"/>
      <c r="FBR25" s="84"/>
      <c r="FBS25" s="84"/>
      <c r="FBT25" s="84"/>
      <c r="FBU25" s="84"/>
      <c r="FBV25" s="84"/>
      <c r="FBW25" s="84"/>
      <c r="FBX25" s="84"/>
      <c r="FBY25" s="84"/>
      <c r="FBZ25" s="84"/>
      <c r="FCA25" s="84"/>
      <c r="FCB25" s="84"/>
      <c r="FCC25" s="84"/>
      <c r="FCD25" s="84"/>
      <c r="FCE25" s="84"/>
      <c r="FCF25" s="84"/>
      <c r="FCG25" s="84"/>
      <c r="FCH25" s="84"/>
      <c r="FCI25" s="84"/>
      <c r="FCJ25" s="84"/>
      <c r="FCK25" s="84"/>
      <c r="FCL25" s="84"/>
      <c r="FCM25" s="84"/>
      <c r="FCN25" s="84"/>
      <c r="FCO25" s="84"/>
      <c r="FCP25" s="84"/>
      <c r="FCQ25" s="84"/>
      <c r="FCR25" s="84"/>
      <c r="FCS25" s="84"/>
      <c r="FCT25" s="84"/>
      <c r="FCU25" s="84"/>
      <c r="FCV25" s="84"/>
      <c r="FCW25" s="84"/>
      <c r="FCX25" s="84"/>
      <c r="FCY25" s="84"/>
      <c r="FCZ25" s="84"/>
      <c r="FDA25" s="84"/>
      <c r="FDB25" s="84"/>
      <c r="FDC25" s="84"/>
      <c r="FDD25" s="84"/>
      <c r="FDE25" s="84"/>
      <c r="FDF25" s="84"/>
      <c r="FDG25" s="84"/>
      <c r="FDH25" s="84"/>
      <c r="FDI25" s="84"/>
      <c r="FDJ25" s="84"/>
      <c r="FDK25" s="84"/>
      <c r="FDL25" s="84"/>
      <c r="FDM25" s="84"/>
      <c r="FDN25" s="84"/>
      <c r="FDO25" s="84"/>
      <c r="FDP25" s="84"/>
      <c r="FDQ25" s="84"/>
      <c r="FDR25" s="84"/>
      <c r="FDS25" s="84"/>
      <c r="FDT25" s="84"/>
      <c r="FDU25" s="84"/>
      <c r="FDV25" s="84"/>
      <c r="FDW25" s="84"/>
      <c r="FDX25" s="84"/>
      <c r="FDY25" s="84"/>
      <c r="FDZ25" s="84"/>
      <c r="FEA25" s="84"/>
      <c r="FEB25" s="84"/>
      <c r="FEC25" s="84"/>
      <c r="FED25" s="84"/>
      <c r="FEE25" s="84"/>
      <c r="FEF25" s="84"/>
      <c r="FEG25" s="84"/>
      <c r="FEH25" s="84"/>
      <c r="FEI25" s="84"/>
      <c r="FEJ25" s="84"/>
      <c r="FEK25" s="84"/>
      <c r="FEL25" s="84"/>
      <c r="FEM25" s="84"/>
      <c r="FEN25" s="84"/>
      <c r="FEO25" s="84"/>
      <c r="FEP25" s="84"/>
      <c r="FEQ25" s="84"/>
      <c r="FER25" s="84"/>
      <c r="FES25" s="84"/>
      <c r="FET25" s="84"/>
      <c r="FEU25" s="84"/>
      <c r="FEV25" s="84"/>
      <c r="FEW25" s="84"/>
      <c r="FEX25" s="84"/>
      <c r="FEY25" s="84"/>
      <c r="FEZ25" s="84"/>
      <c r="FFA25" s="84"/>
      <c r="FFB25" s="84"/>
      <c r="FFC25" s="84"/>
      <c r="FFD25" s="84"/>
      <c r="FFE25" s="84"/>
      <c r="FFF25" s="84"/>
      <c r="FFG25" s="84"/>
      <c r="FFH25" s="84"/>
      <c r="FFI25" s="84"/>
      <c r="FFJ25" s="84"/>
      <c r="FFK25" s="84"/>
      <c r="FFL25" s="84"/>
      <c r="FFM25" s="84"/>
      <c r="FFN25" s="84"/>
      <c r="FFO25" s="84"/>
      <c r="FFP25" s="84"/>
      <c r="FFQ25" s="84"/>
      <c r="FFR25" s="84"/>
      <c r="FFS25" s="84"/>
      <c r="FFT25" s="84"/>
      <c r="FFU25" s="84"/>
      <c r="FFV25" s="84"/>
      <c r="FFW25" s="84"/>
      <c r="FFX25" s="84"/>
      <c r="FFY25" s="84"/>
      <c r="FFZ25" s="84"/>
      <c r="FGA25" s="84"/>
      <c r="FGB25" s="84"/>
      <c r="FGC25" s="84"/>
      <c r="FGD25" s="84"/>
      <c r="FGE25" s="84"/>
      <c r="FGF25" s="84"/>
      <c r="FGG25" s="84"/>
      <c r="FGH25" s="84"/>
      <c r="FGI25" s="84"/>
      <c r="FGJ25" s="84"/>
      <c r="FGK25" s="84"/>
      <c r="FGL25" s="84"/>
      <c r="FGM25" s="84"/>
      <c r="FGN25" s="84"/>
      <c r="FGO25" s="84"/>
      <c r="FGP25" s="84"/>
      <c r="FGQ25" s="84"/>
      <c r="FGR25" s="84"/>
      <c r="FGS25" s="84"/>
      <c r="FGT25" s="84"/>
      <c r="FGU25" s="84"/>
      <c r="FGV25" s="84"/>
      <c r="FGW25" s="84"/>
      <c r="FGX25" s="84"/>
      <c r="FGY25" s="84"/>
      <c r="FGZ25" s="84"/>
      <c r="FHA25" s="84"/>
      <c r="FHB25" s="84"/>
      <c r="FHC25" s="84"/>
      <c r="FHD25" s="84"/>
      <c r="FHE25" s="84"/>
      <c r="FHF25" s="84"/>
      <c r="FHG25" s="84"/>
      <c r="FHH25" s="84"/>
      <c r="FHI25" s="84"/>
      <c r="FHJ25" s="84"/>
      <c r="FHK25" s="84"/>
      <c r="FHL25" s="84"/>
      <c r="FHM25" s="84"/>
      <c r="FHN25" s="84"/>
      <c r="FHO25" s="84"/>
      <c r="FHP25" s="84"/>
      <c r="FHQ25" s="84"/>
      <c r="FHR25" s="84"/>
      <c r="FHS25" s="84"/>
      <c r="FHT25" s="84"/>
      <c r="FHU25" s="84"/>
      <c r="FHV25" s="84"/>
      <c r="FHW25" s="84"/>
      <c r="FHX25" s="84"/>
      <c r="FHY25" s="84"/>
      <c r="FHZ25" s="84"/>
      <c r="FIA25" s="84"/>
      <c r="FIB25" s="84"/>
      <c r="FIC25" s="84"/>
      <c r="FID25" s="84"/>
      <c r="FIE25" s="84"/>
      <c r="FIF25" s="84"/>
      <c r="FIG25" s="84"/>
      <c r="FIH25" s="84"/>
      <c r="FII25" s="84"/>
      <c r="FIJ25" s="84"/>
      <c r="FIK25" s="84"/>
      <c r="FIL25" s="84"/>
      <c r="FIM25" s="84"/>
      <c r="FIN25" s="84"/>
      <c r="FIO25" s="84"/>
      <c r="FIP25" s="84"/>
      <c r="FIQ25" s="84"/>
      <c r="FIR25" s="84"/>
      <c r="FIS25" s="84"/>
      <c r="FIT25" s="84"/>
      <c r="FIU25" s="84"/>
      <c r="FIV25" s="84"/>
      <c r="FIW25" s="84"/>
      <c r="FIX25" s="84"/>
      <c r="FIY25" s="84"/>
      <c r="FIZ25" s="84"/>
      <c r="FJA25" s="84"/>
      <c r="FJB25" s="84"/>
      <c r="FJC25" s="84"/>
      <c r="FJD25" s="84"/>
      <c r="FJE25" s="84"/>
      <c r="FJF25" s="84"/>
      <c r="FJG25" s="84"/>
      <c r="FJH25" s="84"/>
      <c r="FJI25" s="84"/>
      <c r="FJJ25" s="84"/>
      <c r="FJK25" s="84"/>
      <c r="FJL25" s="84"/>
      <c r="FJM25" s="84"/>
      <c r="FJN25" s="84"/>
      <c r="FJO25" s="84"/>
      <c r="FJP25" s="84"/>
      <c r="FJQ25" s="84"/>
      <c r="FJR25" s="84"/>
      <c r="FJS25" s="84"/>
      <c r="FJT25" s="84"/>
      <c r="FJU25" s="84"/>
      <c r="FJV25" s="84"/>
      <c r="FJW25" s="84"/>
      <c r="FJX25" s="84"/>
      <c r="FJY25" s="84"/>
      <c r="FJZ25" s="84"/>
      <c r="FKA25" s="84"/>
      <c r="FKB25" s="84"/>
      <c r="FKC25" s="84"/>
      <c r="FKD25" s="84"/>
      <c r="FKE25" s="84"/>
      <c r="FKF25" s="84"/>
      <c r="FKG25" s="84"/>
      <c r="FKH25" s="84"/>
      <c r="FKI25" s="84"/>
      <c r="FKJ25" s="84"/>
      <c r="FKK25" s="84"/>
      <c r="FKL25" s="84"/>
      <c r="FKM25" s="84"/>
      <c r="FKN25" s="84"/>
      <c r="FKO25" s="84"/>
      <c r="FKP25" s="84"/>
      <c r="FKQ25" s="84"/>
      <c r="FKR25" s="84"/>
      <c r="FKS25" s="84"/>
      <c r="FKT25" s="84"/>
      <c r="FKU25" s="84"/>
      <c r="FKV25" s="84"/>
      <c r="FKW25" s="84"/>
      <c r="FKX25" s="84"/>
      <c r="FKY25" s="84"/>
      <c r="FKZ25" s="84"/>
      <c r="FLA25" s="84"/>
      <c r="FLB25" s="84"/>
      <c r="FLC25" s="84"/>
      <c r="FLD25" s="84"/>
      <c r="FLE25" s="84"/>
      <c r="FLF25" s="84"/>
      <c r="FLG25" s="84"/>
      <c r="FLH25" s="84"/>
      <c r="FLI25" s="84"/>
      <c r="FLJ25" s="84"/>
      <c r="FLK25" s="84"/>
      <c r="FLL25" s="84"/>
      <c r="FLM25" s="84"/>
      <c r="FLN25" s="84"/>
      <c r="FLO25" s="84"/>
      <c r="FLP25" s="84"/>
      <c r="FLQ25" s="84"/>
      <c r="FLR25" s="84"/>
      <c r="FLS25" s="84"/>
      <c r="FLT25" s="84"/>
      <c r="FLU25" s="84"/>
      <c r="FLV25" s="84"/>
      <c r="FLW25" s="84"/>
      <c r="FLX25" s="84"/>
      <c r="FLY25" s="84"/>
      <c r="FLZ25" s="84"/>
      <c r="FMA25" s="84"/>
      <c r="FMB25" s="84"/>
      <c r="FMC25" s="84"/>
      <c r="FMD25" s="84"/>
      <c r="FME25" s="84"/>
      <c r="FMF25" s="84"/>
      <c r="FMG25" s="84"/>
      <c r="FMH25" s="84"/>
      <c r="FMI25" s="84"/>
      <c r="FMJ25" s="84"/>
      <c r="FMK25" s="84"/>
      <c r="FML25" s="84"/>
      <c r="FMM25" s="84"/>
      <c r="FMN25" s="84"/>
      <c r="FMO25" s="84"/>
      <c r="FMP25" s="84"/>
      <c r="FMQ25" s="84"/>
      <c r="FMR25" s="84"/>
      <c r="FMS25" s="84"/>
      <c r="FMT25" s="84"/>
      <c r="FMU25" s="84"/>
      <c r="FMV25" s="84"/>
      <c r="FMW25" s="84"/>
      <c r="FMX25" s="84"/>
      <c r="FMY25" s="84"/>
      <c r="FMZ25" s="84"/>
      <c r="FNA25" s="84"/>
      <c r="FNB25" s="84"/>
      <c r="FNC25" s="84"/>
      <c r="FND25" s="84"/>
      <c r="FNE25" s="84"/>
      <c r="FNF25" s="84"/>
      <c r="FNG25" s="84"/>
      <c r="FNH25" s="84"/>
      <c r="FNI25" s="84"/>
      <c r="FNJ25" s="84"/>
      <c r="FNK25" s="84"/>
      <c r="FNL25" s="84"/>
      <c r="FNM25" s="84"/>
      <c r="FNN25" s="84"/>
      <c r="FNO25" s="84"/>
      <c r="FNP25" s="84"/>
      <c r="FNQ25" s="84"/>
      <c r="FNR25" s="84"/>
      <c r="FNS25" s="84"/>
      <c r="FNT25" s="84"/>
      <c r="FNU25" s="84"/>
      <c r="FNV25" s="84"/>
      <c r="FNW25" s="84"/>
      <c r="FNX25" s="84"/>
      <c r="FNY25" s="84"/>
      <c r="FNZ25" s="84"/>
      <c r="FOA25" s="84"/>
      <c r="FOB25" s="84"/>
      <c r="FOC25" s="84"/>
      <c r="FOD25" s="84"/>
      <c r="FOE25" s="84"/>
      <c r="FOF25" s="84"/>
      <c r="FOG25" s="84"/>
      <c r="FOH25" s="84"/>
      <c r="FOI25" s="84"/>
      <c r="FOJ25" s="84"/>
      <c r="FOK25" s="84"/>
      <c r="FOL25" s="84"/>
      <c r="FOM25" s="84"/>
      <c r="FON25" s="84"/>
      <c r="FOO25" s="84"/>
      <c r="FOP25" s="84"/>
      <c r="FOQ25" s="84"/>
      <c r="FOR25" s="84"/>
      <c r="FOS25" s="84"/>
      <c r="FOT25" s="84"/>
      <c r="FOU25" s="84"/>
      <c r="FOV25" s="84"/>
      <c r="FOW25" s="84"/>
      <c r="FOX25" s="84"/>
      <c r="FOY25" s="84"/>
      <c r="FOZ25" s="84"/>
      <c r="FPA25" s="84"/>
      <c r="FPB25" s="84"/>
      <c r="FPC25" s="84"/>
      <c r="FPD25" s="84"/>
      <c r="FPE25" s="84"/>
      <c r="FPF25" s="84"/>
      <c r="FPG25" s="84"/>
      <c r="FPH25" s="84"/>
      <c r="FPI25" s="84"/>
      <c r="FPJ25" s="84"/>
      <c r="FPK25" s="84"/>
      <c r="FPL25" s="84"/>
      <c r="FPM25" s="84"/>
      <c r="FPN25" s="84"/>
      <c r="FPO25" s="84"/>
      <c r="FPP25" s="84"/>
      <c r="FPQ25" s="84"/>
      <c r="FPR25" s="84"/>
      <c r="FPS25" s="84"/>
      <c r="FPT25" s="84"/>
      <c r="FPU25" s="84"/>
      <c r="FPV25" s="84"/>
      <c r="FPW25" s="84"/>
      <c r="FPX25" s="84"/>
      <c r="FPY25" s="84"/>
      <c r="FPZ25" s="84"/>
      <c r="FQA25" s="84"/>
      <c r="FQB25" s="84"/>
      <c r="FQC25" s="84"/>
      <c r="FQD25" s="84"/>
      <c r="FQE25" s="84"/>
      <c r="FQF25" s="84"/>
      <c r="FQG25" s="84"/>
      <c r="FQH25" s="84"/>
      <c r="FQI25" s="84"/>
      <c r="FQJ25" s="84"/>
      <c r="FQK25" s="84"/>
      <c r="FQL25" s="84"/>
      <c r="FQM25" s="84"/>
      <c r="FQN25" s="84"/>
      <c r="FQO25" s="84"/>
      <c r="FQP25" s="84"/>
      <c r="FQQ25" s="84"/>
      <c r="FQR25" s="84"/>
      <c r="FQS25" s="84"/>
      <c r="FQT25" s="84"/>
      <c r="FQU25" s="84"/>
      <c r="FQV25" s="84"/>
      <c r="FQW25" s="84"/>
      <c r="FQX25" s="84"/>
      <c r="FQY25" s="84"/>
      <c r="FQZ25" s="84"/>
      <c r="FRA25" s="84"/>
      <c r="FRB25" s="84"/>
      <c r="FRC25" s="84"/>
      <c r="FRD25" s="84"/>
      <c r="FRE25" s="84"/>
      <c r="FRF25" s="84"/>
      <c r="FRG25" s="84"/>
      <c r="FRH25" s="84"/>
      <c r="FRI25" s="84"/>
      <c r="FRJ25" s="84"/>
      <c r="FRK25" s="84"/>
      <c r="FRL25" s="84"/>
      <c r="FRM25" s="84"/>
      <c r="FRN25" s="84"/>
      <c r="FRO25" s="84"/>
      <c r="FRP25" s="84"/>
      <c r="FRQ25" s="84"/>
      <c r="FRR25" s="84"/>
      <c r="FRS25" s="84"/>
      <c r="FRT25" s="84"/>
      <c r="FRU25" s="84"/>
      <c r="FRV25" s="84"/>
      <c r="FRW25" s="84"/>
      <c r="FRX25" s="84"/>
      <c r="FRY25" s="84"/>
      <c r="FRZ25" s="84"/>
      <c r="FSA25" s="84"/>
      <c r="FSB25" s="84"/>
      <c r="FSC25" s="84"/>
      <c r="FSD25" s="84"/>
      <c r="FSE25" s="84"/>
      <c r="FSF25" s="84"/>
      <c r="FSG25" s="84"/>
      <c r="FSH25" s="84"/>
      <c r="FSI25" s="84"/>
      <c r="FSJ25" s="84"/>
      <c r="FSK25" s="84"/>
      <c r="FSL25" s="84"/>
      <c r="FSM25" s="84"/>
      <c r="FSN25" s="84"/>
      <c r="FSO25" s="84"/>
      <c r="FSP25" s="84"/>
      <c r="FSQ25" s="84"/>
      <c r="FSR25" s="84"/>
      <c r="FSS25" s="84"/>
      <c r="FST25" s="84"/>
      <c r="FSU25" s="84"/>
      <c r="FSV25" s="84"/>
      <c r="FSW25" s="84"/>
      <c r="FSX25" s="84"/>
      <c r="FSY25" s="84"/>
      <c r="FSZ25" s="84"/>
      <c r="FTA25" s="84"/>
      <c r="FTB25" s="84"/>
      <c r="FTC25" s="84"/>
      <c r="FTD25" s="84"/>
      <c r="FTE25" s="84"/>
      <c r="FTF25" s="84"/>
      <c r="FTG25" s="84"/>
      <c r="FTH25" s="84"/>
      <c r="FTI25" s="84"/>
      <c r="FTJ25" s="84"/>
      <c r="FTK25" s="84"/>
      <c r="FTL25" s="84"/>
      <c r="FTM25" s="84"/>
      <c r="FTN25" s="84"/>
      <c r="FTO25" s="84"/>
      <c r="FTP25" s="84"/>
      <c r="FTQ25" s="84"/>
      <c r="FTR25" s="84"/>
      <c r="FTS25" s="84"/>
      <c r="FTT25" s="84"/>
      <c r="FTU25" s="84"/>
      <c r="FTV25" s="84"/>
      <c r="FTW25" s="84"/>
      <c r="FTX25" s="84"/>
      <c r="FTY25" s="84"/>
      <c r="FTZ25" s="84"/>
      <c r="FUA25" s="84"/>
      <c r="FUB25" s="84"/>
      <c r="FUC25" s="84"/>
      <c r="FUD25" s="84"/>
      <c r="FUE25" s="84"/>
      <c r="FUF25" s="84"/>
      <c r="FUG25" s="84"/>
      <c r="FUH25" s="84"/>
      <c r="FUI25" s="84"/>
      <c r="FUJ25" s="84"/>
      <c r="FUK25" s="84"/>
      <c r="FUL25" s="84"/>
      <c r="FUM25" s="84"/>
      <c r="FUN25" s="84"/>
      <c r="FUO25" s="84"/>
      <c r="FUP25" s="84"/>
      <c r="FUQ25" s="84"/>
      <c r="FUR25" s="84"/>
      <c r="FUS25" s="84"/>
      <c r="FUT25" s="84"/>
      <c r="FUU25" s="84"/>
      <c r="FUV25" s="84"/>
      <c r="FUW25" s="84"/>
      <c r="FUX25" s="84"/>
      <c r="FUY25" s="84"/>
      <c r="FUZ25" s="84"/>
      <c r="FVA25" s="84"/>
      <c r="FVB25" s="84"/>
      <c r="FVC25" s="84"/>
      <c r="FVD25" s="84"/>
      <c r="FVE25" s="84"/>
      <c r="FVF25" s="84"/>
      <c r="FVG25" s="84"/>
      <c r="FVH25" s="84"/>
      <c r="FVI25" s="84"/>
      <c r="FVJ25" s="84"/>
      <c r="FVK25" s="84"/>
      <c r="FVL25" s="84"/>
      <c r="FVM25" s="84"/>
      <c r="FVN25" s="84"/>
      <c r="FVO25" s="84"/>
      <c r="FVP25" s="84"/>
      <c r="FVQ25" s="84"/>
      <c r="FVR25" s="84"/>
      <c r="FVS25" s="84"/>
      <c r="FVT25" s="84"/>
      <c r="FVU25" s="84"/>
      <c r="FVV25" s="84"/>
      <c r="FVW25" s="84"/>
      <c r="FVX25" s="84"/>
      <c r="FVY25" s="84"/>
      <c r="FVZ25" s="84"/>
      <c r="FWA25" s="84"/>
      <c r="FWB25" s="84"/>
      <c r="FWC25" s="84"/>
      <c r="FWD25" s="84"/>
      <c r="FWE25" s="84"/>
      <c r="FWF25" s="84"/>
      <c r="FWG25" s="84"/>
      <c r="FWH25" s="84"/>
      <c r="FWI25" s="84"/>
      <c r="FWJ25" s="84"/>
      <c r="FWK25" s="84"/>
      <c r="FWL25" s="84"/>
      <c r="FWM25" s="84"/>
      <c r="FWN25" s="84"/>
      <c r="FWO25" s="84"/>
      <c r="FWP25" s="84"/>
      <c r="FWQ25" s="84"/>
      <c r="FWR25" s="84"/>
      <c r="FWS25" s="84"/>
      <c r="FWT25" s="84"/>
      <c r="FWU25" s="84"/>
      <c r="FWV25" s="84"/>
      <c r="FWW25" s="84"/>
      <c r="FWX25" s="84"/>
      <c r="FWY25" s="84"/>
      <c r="FWZ25" s="84"/>
      <c r="FXA25" s="84"/>
      <c r="FXB25" s="84"/>
      <c r="FXC25" s="84"/>
      <c r="FXD25" s="84"/>
      <c r="FXE25" s="84"/>
      <c r="FXF25" s="84"/>
      <c r="FXG25" s="84"/>
      <c r="FXH25" s="84"/>
      <c r="FXI25" s="84"/>
      <c r="FXJ25" s="84"/>
      <c r="FXK25" s="84"/>
      <c r="FXL25" s="84"/>
      <c r="FXM25" s="84"/>
      <c r="FXN25" s="84"/>
      <c r="FXO25" s="84"/>
      <c r="FXP25" s="84"/>
      <c r="FXQ25" s="84"/>
      <c r="FXR25" s="84"/>
      <c r="FXS25" s="84"/>
      <c r="FXT25" s="84"/>
      <c r="FXU25" s="84"/>
      <c r="FXV25" s="84"/>
      <c r="FXW25" s="84"/>
      <c r="FXX25" s="84"/>
      <c r="FXY25" s="84"/>
      <c r="FXZ25" s="84"/>
      <c r="FYA25" s="84"/>
      <c r="FYB25" s="84"/>
      <c r="FYC25" s="84"/>
      <c r="FYD25" s="84"/>
      <c r="FYE25" s="84"/>
      <c r="FYF25" s="84"/>
      <c r="FYG25" s="84"/>
      <c r="FYH25" s="84"/>
      <c r="FYI25" s="84"/>
      <c r="FYJ25" s="84"/>
      <c r="FYK25" s="84"/>
      <c r="FYL25" s="84"/>
      <c r="FYM25" s="84"/>
      <c r="FYN25" s="84"/>
      <c r="FYO25" s="84"/>
      <c r="FYP25" s="84"/>
      <c r="FYQ25" s="84"/>
      <c r="FYR25" s="84"/>
      <c r="FYS25" s="84"/>
      <c r="FYT25" s="84"/>
      <c r="FYU25" s="84"/>
      <c r="FYV25" s="84"/>
      <c r="FYW25" s="84"/>
      <c r="FYX25" s="84"/>
      <c r="FYY25" s="84"/>
      <c r="FYZ25" s="84"/>
      <c r="FZA25" s="84"/>
      <c r="FZB25" s="84"/>
      <c r="FZC25" s="84"/>
      <c r="FZD25" s="84"/>
      <c r="FZE25" s="84"/>
      <c r="FZF25" s="84"/>
      <c r="FZG25" s="84"/>
      <c r="FZH25" s="84"/>
      <c r="FZI25" s="84"/>
      <c r="FZJ25" s="84"/>
      <c r="FZK25" s="84"/>
      <c r="FZL25" s="84"/>
      <c r="FZM25" s="84"/>
      <c r="FZN25" s="84"/>
      <c r="FZO25" s="84"/>
      <c r="FZP25" s="84"/>
      <c r="FZQ25" s="84"/>
      <c r="FZR25" s="84"/>
      <c r="FZS25" s="84"/>
      <c r="FZT25" s="84"/>
      <c r="FZU25" s="84"/>
      <c r="FZV25" s="84"/>
      <c r="FZW25" s="84"/>
      <c r="FZX25" s="84"/>
      <c r="FZY25" s="84"/>
      <c r="FZZ25" s="84"/>
      <c r="GAA25" s="84"/>
      <c r="GAB25" s="84"/>
      <c r="GAC25" s="84"/>
      <c r="GAD25" s="84"/>
      <c r="GAE25" s="84"/>
      <c r="GAF25" s="84"/>
      <c r="GAG25" s="84"/>
      <c r="GAH25" s="84"/>
      <c r="GAI25" s="84"/>
      <c r="GAJ25" s="84"/>
      <c r="GAK25" s="84"/>
      <c r="GAL25" s="84"/>
      <c r="GAM25" s="84"/>
      <c r="GAN25" s="84"/>
      <c r="GAO25" s="84"/>
      <c r="GAP25" s="84"/>
      <c r="GAQ25" s="84"/>
      <c r="GAR25" s="84"/>
      <c r="GAS25" s="84"/>
      <c r="GAT25" s="84"/>
      <c r="GAU25" s="84"/>
      <c r="GAV25" s="84"/>
      <c r="GAW25" s="84"/>
      <c r="GAX25" s="84"/>
      <c r="GAY25" s="84"/>
      <c r="GAZ25" s="84"/>
      <c r="GBA25" s="84"/>
      <c r="GBB25" s="84"/>
      <c r="GBC25" s="84"/>
      <c r="GBD25" s="84"/>
      <c r="GBE25" s="84"/>
      <c r="GBF25" s="84"/>
      <c r="GBG25" s="84"/>
      <c r="GBH25" s="84"/>
      <c r="GBI25" s="84"/>
      <c r="GBJ25" s="84"/>
      <c r="GBK25" s="84"/>
      <c r="GBL25" s="84"/>
      <c r="GBM25" s="84"/>
      <c r="GBN25" s="84"/>
      <c r="GBO25" s="84"/>
      <c r="GBP25" s="84"/>
      <c r="GBQ25" s="84"/>
      <c r="GBR25" s="84"/>
      <c r="GBS25" s="84"/>
      <c r="GBT25" s="84"/>
      <c r="GBU25" s="84"/>
      <c r="GBV25" s="84"/>
      <c r="GBW25" s="84"/>
      <c r="GBX25" s="84"/>
      <c r="GBY25" s="84"/>
      <c r="GBZ25" s="84"/>
      <c r="GCA25" s="84"/>
      <c r="GCB25" s="84"/>
      <c r="GCC25" s="84"/>
      <c r="GCD25" s="84"/>
      <c r="GCE25" s="84"/>
      <c r="GCF25" s="84"/>
      <c r="GCG25" s="84"/>
      <c r="GCH25" s="84"/>
      <c r="GCI25" s="84"/>
      <c r="GCJ25" s="84"/>
      <c r="GCK25" s="84"/>
      <c r="GCL25" s="84"/>
      <c r="GCM25" s="84"/>
      <c r="GCN25" s="84"/>
      <c r="GCO25" s="84"/>
      <c r="GCP25" s="84"/>
      <c r="GCQ25" s="84"/>
      <c r="GCR25" s="84"/>
      <c r="GCS25" s="84"/>
      <c r="GCT25" s="84"/>
      <c r="GCU25" s="84"/>
      <c r="GCV25" s="84"/>
      <c r="GCW25" s="84"/>
      <c r="GCX25" s="84"/>
      <c r="GCY25" s="84"/>
      <c r="GCZ25" s="84"/>
      <c r="GDA25" s="84"/>
      <c r="GDB25" s="84"/>
      <c r="GDC25" s="84"/>
      <c r="GDD25" s="84"/>
      <c r="GDE25" s="84"/>
      <c r="GDF25" s="84"/>
      <c r="GDG25" s="84"/>
      <c r="GDH25" s="84"/>
      <c r="GDI25" s="84"/>
      <c r="GDJ25" s="84"/>
      <c r="GDK25" s="84"/>
      <c r="GDL25" s="84"/>
      <c r="GDM25" s="84"/>
      <c r="GDN25" s="84"/>
      <c r="GDO25" s="84"/>
      <c r="GDP25" s="84"/>
      <c r="GDQ25" s="84"/>
      <c r="GDR25" s="84"/>
      <c r="GDS25" s="84"/>
      <c r="GDT25" s="84"/>
      <c r="GDU25" s="84"/>
      <c r="GDV25" s="84"/>
      <c r="GDW25" s="84"/>
      <c r="GDX25" s="84"/>
      <c r="GDY25" s="84"/>
      <c r="GDZ25" s="84"/>
      <c r="GEA25" s="84"/>
      <c r="GEB25" s="84"/>
      <c r="GEC25" s="84"/>
      <c r="GED25" s="84"/>
      <c r="GEE25" s="84"/>
      <c r="GEF25" s="84"/>
      <c r="GEG25" s="84"/>
      <c r="GEH25" s="84"/>
      <c r="GEI25" s="84"/>
      <c r="GEJ25" s="84"/>
      <c r="GEK25" s="84"/>
      <c r="GEL25" s="84"/>
      <c r="GEM25" s="84"/>
      <c r="GEN25" s="84"/>
      <c r="GEO25" s="84"/>
      <c r="GEP25" s="84"/>
      <c r="GEQ25" s="84"/>
      <c r="GER25" s="84"/>
      <c r="GES25" s="84"/>
      <c r="GET25" s="84"/>
      <c r="GEU25" s="84"/>
      <c r="GEV25" s="84"/>
      <c r="GEW25" s="84"/>
      <c r="GEX25" s="84"/>
      <c r="GEY25" s="84"/>
      <c r="GEZ25" s="84"/>
      <c r="GFA25" s="84"/>
      <c r="GFB25" s="84"/>
      <c r="GFC25" s="84"/>
      <c r="GFD25" s="84"/>
      <c r="GFE25" s="84"/>
      <c r="GFF25" s="84"/>
      <c r="GFG25" s="84"/>
      <c r="GFH25" s="84"/>
      <c r="GFI25" s="84"/>
      <c r="GFJ25" s="84"/>
      <c r="GFK25" s="84"/>
      <c r="GFL25" s="84"/>
      <c r="GFM25" s="84"/>
      <c r="GFN25" s="84"/>
      <c r="GFO25" s="84"/>
      <c r="GFP25" s="84"/>
      <c r="GFQ25" s="84"/>
      <c r="GFR25" s="84"/>
      <c r="GFS25" s="84"/>
      <c r="GFT25" s="84"/>
      <c r="GFU25" s="84"/>
      <c r="GFV25" s="84"/>
      <c r="GFW25" s="84"/>
      <c r="GFX25" s="84"/>
      <c r="GFY25" s="84"/>
      <c r="GFZ25" s="84"/>
      <c r="GGA25" s="84"/>
      <c r="GGB25" s="84"/>
      <c r="GGC25" s="84"/>
      <c r="GGD25" s="84"/>
      <c r="GGE25" s="84"/>
      <c r="GGF25" s="84"/>
      <c r="GGG25" s="84"/>
      <c r="GGH25" s="84"/>
      <c r="GGI25" s="84"/>
      <c r="GGJ25" s="84"/>
      <c r="GGK25" s="84"/>
      <c r="GGL25" s="84"/>
      <c r="GGM25" s="84"/>
      <c r="GGN25" s="84"/>
      <c r="GGO25" s="84"/>
      <c r="GGP25" s="84"/>
      <c r="GGQ25" s="84"/>
      <c r="GGR25" s="84"/>
      <c r="GGS25" s="84"/>
      <c r="GGT25" s="84"/>
      <c r="GGU25" s="84"/>
      <c r="GGV25" s="84"/>
      <c r="GGW25" s="84"/>
      <c r="GGX25" s="84"/>
      <c r="GGY25" s="84"/>
      <c r="GGZ25" s="84"/>
      <c r="GHA25" s="84"/>
      <c r="GHB25" s="84"/>
      <c r="GHC25" s="84"/>
      <c r="GHD25" s="84"/>
      <c r="GHE25" s="84"/>
      <c r="GHF25" s="84"/>
      <c r="GHG25" s="84"/>
      <c r="GHH25" s="84"/>
      <c r="GHI25" s="84"/>
      <c r="GHJ25" s="84"/>
      <c r="GHK25" s="84"/>
      <c r="GHL25" s="84"/>
      <c r="GHM25" s="84"/>
      <c r="GHN25" s="84"/>
      <c r="GHO25" s="84"/>
      <c r="GHP25" s="84"/>
      <c r="GHQ25" s="84"/>
      <c r="GHR25" s="84"/>
      <c r="GHS25" s="84"/>
      <c r="GHT25" s="84"/>
      <c r="GHU25" s="84"/>
      <c r="GHV25" s="84"/>
      <c r="GHW25" s="84"/>
      <c r="GHX25" s="84"/>
      <c r="GHY25" s="84"/>
      <c r="GHZ25" s="84"/>
      <c r="GIA25" s="84"/>
      <c r="GIB25" s="84"/>
      <c r="GIC25" s="84"/>
      <c r="GID25" s="84"/>
      <c r="GIE25" s="84"/>
      <c r="GIF25" s="84"/>
      <c r="GIG25" s="84"/>
      <c r="GIH25" s="84"/>
      <c r="GII25" s="84"/>
      <c r="GIJ25" s="84"/>
      <c r="GIK25" s="84"/>
      <c r="GIL25" s="84"/>
      <c r="GIM25" s="84"/>
      <c r="GIN25" s="84"/>
      <c r="GIO25" s="84"/>
      <c r="GIP25" s="84"/>
      <c r="GIQ25" s="84"/>
      <c r="GIR25" s="84"/>
      <c r="GIS25" s="84"/>
      <c r="GIT25" s="84"/>
      <c r="GIU25" s="84"/>
      <c r="GIV25" s="84"/>
      <c r="GIW25" s="84"/>
      <c r="GIX25" s="84"/>
      <c r="GIY25" s="84"/>
      <c r="GIZ25" s="84"/>
      <c r="GJA25" s="84"/>
      <c r="GJB25" s="84"/>
      <c r="GJC25" s="84"/>
      <c r="GJD25" s="84"/>
      <c r="GJE25" s="84"/>
      <c r="GJF25" s="84"/>
      <c r="GJG25" s="84"/>
      <c r="GJH25" s="84"/>
      <c r="GJI25" s="84"/>
      <c r="GJJ25" s="84"/>
      <c r="GJK25" s="84"/>
      <c r="GJL25" s="84"/>
      <c r="GJM25" s="84"/>
      <c r="GJN25" s="84"/>
      <c r="GJO25" s="84"/>
      <c r="GJP25" s="84"/>
      <c r="GJQ25" s="84"/>
      <c r="GJR25" s="84"/>
      <c r="GJS25" s="84"/>
      <c r="GJT25" s="84"/>
      <c r="GJU25" s="84"/>
      <c r="GJV25" s="84"/>
      <c r="GJW25" s="84"/>
      <c r="GJX25" s="84"/>
      <c r="GJY25" s="84"/>
      <c r="GJZ25" s="84"/>
      <c r="GKA25" s="84"/>
      <c r="GKB25" s="84"/>
      <c r="GKC25" s="84"/>
      <c r="GKD25" s="84"/>
      <c r="GKE25" s="84"/>
      <c r="GKF25" s="84"/>
      <c r="GKG25" s="84"/>
      <c r="GKH25" s="84"/>
      <c r="GKI25" s="84"/>
      <c r="GKJ25" s="84"/>
      <c r="GKK25" s="84"/>
      <c r="GKL25" s="84"/>
      <c r="GKM25" s="84"/>
      <c r="GKN25" s="84"/>
      <c r="GKO25" s="84"/>
      <c r="GKP25" s="84"/>
      <c r="GKQ25" s="84"/>
      <c r="GKR25" s="84"/>
      <c r="GKS25" s="84"/>
      <c r="GKT25" s="84"/>
      <c r="GKU25" s="84"/>
      <c r="GKV25" s="84"/>
      <c r="GKW25" s="84"/>
      <c r="GKX25" s="84"/>
      <c r="GKY25" s="84"/>
      <c r="GKZ25" s="84"/>
      <c r="GLA25" s="84"/>
      <c r="GLB25" s="84"/>
      <c r="GLC25" s="84"/>
      <c r="GLD25" s="84"/>
      <c r="GLE25" s="84"/>
      <c r="GLF25" s="84"/>
      <c r="GLG25" s="84"/>
      <c r="GLH25" s="84"/>
      <c r="GLI25" s="84"/>
      <c r="GLJ25" s="84"/>
      <c r="GLK25" s="84"/>
      <c r="GLL25" s="84"/>
      <c r="GLM25" s="84"/>
      <c r="GLN25" s="84"/>
      <c r="GLO25" s="84"/>
      <c r="GLP25" s="84"/>
      <c r="GLQ25" s="84"/>
      <c r="GLR25" s="84"/>
      <c r="GLS25" s="84"/>
      <c r="GLT25" s="84"/>
      <c r="GLU25" s="84"/>
      <c r="GLV25" s="84"/>
      <c r="GLW25" s="84"/>
      <c r="GLX25" s="84"/>
      <c r="GLY25" s="84"/>
      <c r="GLZ25" s="84"/>
      <c r="GMA25" s="84"/>
      <c r="GMB25" s="84"/>
      <c r="GMC25" s="84"/>
      <c r="GMD25" s="84"/>
      <c r="GME25" s="84"/>
      <c r="GMF25" s="84"/>
      <c r="GMG25" s="84"/>
      <c r="GMH25" s="84"/>
      <c r="GMI25" s="84"/>
      <c r="GMJ25" s="84"/>
      <c r="GMK25" s="84"/>
      <c r="GML25" s="84"/>
      <c r="GMM25" s="84"/>
      <c r="GMN25" s="84"/>
      <c r="GMO25" s="84"/>
      <c r="GMP25" s="84"/>
      <c r="GMQ25" s="84"/>
      <c r="GMR25" s="84"/>
      <c r="GMS25" s="84"/>
      <c r="GMT25" s="84"/>
      <c r="GMU25" s="84"/>
      <c r="GMV25" s="84"/>
      <c r="GMW25" s="84"/>
      <c r="GMX25" s="84"/>
      <c r="GMY25" s="84"/>
      <c r="GMZ25" s="84"/>
      <c r="GNA25" s="84"/>
      <c r="GNB25" s="84"/>
      <c r="GNC25" s="84"/>
      <c r="GND25" s="84"/>
      <c r="GNE25" s="84"/>
      <c r="GNF25" s="84"/>
      <c r="GNG25" s="84"/>
      <c r="GNH25" s="84"/>
      <c r="GNI25" s="84"/>
      <c r="GNJ25" s="84"/>
      <c r="GNK25" s="84"/>
      <c r="GNL25" s="84"/>
      <c r="GNM25" s="84"/>
      <c r="GNN25" s="84"/>
      <c r="GNO25" s="84"/>
      <c r="GNP25" s="84"/>
      <c r="GNQ25" s="84"/>
      <c r="GNR25" s="84"/>
      <c r="GNS25" s="84"/>
      <c r="GNT25" s="84"/>
      <c r="GNU25" s="84"/>
      <c r="GNV25" s="84"/>
      <c r="GNW25" s="84"/>
      <c r="GNX25" s="84"/>
      <c r="GNY25" s="84"/>
      <c r="GNZ25" s="84"/>
      <c r="GOA25" s="84"/>
      <c r="GOB25" s="84"/>
      <c r="GOC25" s="84"/>
      <c r="GOD25" s="84"/>
      <c r="GOE25" s="84"/>
      <c r="GOF25" s="84"/>
      <c r="GOG25" s="84"/>
      <c r="GOH25" s="84"/>
      <c r="GOI25" s="84"/>
      <c r="GOJ25" s="84"/>
      <c r="GOK25" s="84"/>
      <c r="GOL25" s="84"/>
      <c r="GOM25" s="84"/>
      <c r="GON25" s="84"/>
      <c r="GOO25" s="84"/>
      <c r="GOP25" s="84"/>
      <c r="GOQ25" s="84"/>
      <c r="GOR25" s="84"/>
      <c r="GOS25" s="84"/>
      <c r="GOT25" s="84"/>
      <c r="GOU25" s="84"/>
      <c r="GOV25" s="84"/>
      <c r="GOW25" s="84"/>
      <c r="GOX25" s="84"/>
      <c r="GOY25" s="84"/>
      <c r="GOZ25" s="84"/>
      <c r="GPA25" s="84"/>
      <c r="GPB25" s="84"/>
      <c r="GPC25" s="84"/>
      <c r="GPD25" s="84"/>
      <c r="GPE25" s="84"/>
      <c r="GPF25" s="84"/>
      <c r="GPG25" s="84"/>
      <c r="GPH25" s="84"/>
      <c r="GPI25" s="84"/>
      <c r="GPJ25" s="84"/>
      <c r="GPK25" s="84"/>
      <c r="GPL25" s="84"/>
      <c r="GPM25" s="84"/>
      <c r="GPN25" s="84"/>
      <c r="GPO25" s="84"/>
      <c r="GPP25" s="84"/>
      <c r="GPQ25" s="84"/>
      <c r="GPR25" s="84"/>
      <c r="GPS25" s="84"/>
      <c r="GPT25" s="84"/>
      <c r="GPU25" s="84"/>
      <c r="GPV25" s="84"/>
      <c r="GPW25" s="84"/>
      <c r="GPX25" s="84"/>
      <c r="GPY25" s="84"/>
      <c r="GPZ25" s="84"/>
      <c r="GQA25" s="84"/>
      <c r="GQB25" s="84"/>
      <c r="GQC25" s="84"/>
      <c r="GQD25" s="84"/>
      <c r="GQE25" s="84"/>
      <c r="GQF25" s="84"/>
      <c r="GQG25" s="84"/>
      <c r="GQH25" s="84"/>
      <c r="GQI25" s="84"/>
      <c r="GQJ25" s="84"/>
      <c r="GQK25" s="84"/>
      <c r="GQL25" s="84"/>
      <c r="GQM25" s="84"/>
      <c r="GQN25" s="84"/>
      <c r="GQO25" s="84"/>
      <c r="GQP25" s="84"/>
      <c r="GQQ25" s="84"/>
      <c r="GQR25" s="84"/>
      <c r="GQS25" s="84"/>
      <c r="GQT25" s="84"/>
      <c r="GQU25" s="84"/>
      <c r="GQV25" s="84"/>
      <c r="GQW25" s="84"/>
      <c r="GQX25" s="84"/>
      <c r="GQY25" s="84"/>
      <c r="GQZ25" s="84"/>
      <c r="GRA25" s="84"/>
      <c r="GRB25" s="84"/>
      <c r="GRC25" s="84"/>
      <c r="GRD25" s="84"/>
      <c r="GRE25" s="84"/>
      <c r="GRF25" s="84"/>
      <c r="GRG25" s="84"/>
      <c r="GRH25" s="84"/>
      <c r="GRI25" s="84"/>
      <c r="GRJ25" s="84"/>
      <c r="GRK25" s="84"/>
      <c r="GRL25" s="84"/>
      <c r="GRM25" s="84"/>
      <c r="GRN25" s="84"/>
      <c r="GRO25" s="84"/>
      <c r="GRP25" s="84"/>
      <c r="GRQ25" s="84"/>
      <c r="GRR25" s="84"/>
      <c r="GRS25" s="84"/>
      <c r="GRT25" s="84"/>
      <c r="GRU25" s="84"/>
      <c r="GRV25" s="84"/>
      <c r="GRW25" s="84"/>
      <c r="GRX25" s="84"/>
      <c r="GRY25" s="84"/>
      <c r="GRZ25" s="84"/>
      <c r="GSA25" s="84"/>
      <c r="GSB25" s="84"/>
      <c r="GSC25" s="84"/>
      <c r="GSD25" s="84"/>
      <c r="GSE25" s="84"/>
      <c r="GSF25" s="84"/>
      <c r="GSG25" s="84"/>
      <c r="GSH25" s="84"/>
      <c r="GSI25" s="84"/>
      <c r="GSJ25" s="84"/>
      <c r="GSK25" s="84"/>
      <c r="GSL25" s="84"/>
      <c r="GSM25" s="84"/>
      <c r="GSN25" s="84"/>
      <c r="GSO25" s="84"/>
      <c r="GSP25" s="84"/>
      <c r="GSQ25" s="84"/>
      <c r="GSR25" s="84"/>
      <c r="GSS25" s="84"/>
      <c r="GST25" s="84"/>
      <c r="GSU25" s="84"/>
      <c r="GSV25" s="84"/>
      <c r="GSW25" s="84"/>
      <c r="GSX25" s="84"/>
      <c r="GSY25" s="84"/>
      <c r="GSZ25" s="84"/>
      <c r="GTA25" s="84"/>
      <c r="GTB25" s="84"/>
      <c r="GTC25" s="84"/>
      <c r="GTD25" s="84"/>
      <c r="GTE25" s="84"/>
      <c r="GTF25" s="84"/>
      <c r="GTG25" s="84"/>
      <c r="GTH25" s="84"/>
      <c r="GTI25" s="84"/>
      <c r="GTJ25" s="84"/>
      <c r="GTK25" s="84"/>
      <c r="GTL25" s="84"/>
      <c r="GTM25" s="84"/>
      <c r="GTN25" s="84"/>
      <c r="GTO25" s="84"/>
      <c r="GTP25" s="84"/>
      <c r="GTQ25" s="84"/>
      <c r="GTR25" s="84"/>
      <c r="GTS25" s="84"/>
      <c r="GTT25" s="84"/>
      <c r="GTU25" s="84"/>
      <c r="GTV25" s="84"/>
      <c r="GTW25" s="84"/>
      <c r="GTX25" s="84"/>
      <c r="GTY25" s="84"/>
      <c r="GTZ25" s="84"/>
      <c r="GUA25" s="84"/>
      <c r="GUB25" s="84"/>
      <c r="GUC25" s="84"/>
      <c r="GUD25" s="84"/>
      <c r="GUE25" s="84"/>
      <c r="GUF25" s="84"/>
      <c r="GUG25" s="84"/>
      <c r="GUH25" s="84"/>
      <c r="GUI25" s="84"/>
      <c r="GUJ25" s="84"/>
      <c r="GUK25" s="84"/>
      <c r="GUL25" s="84"/>
      <c r="GUM25" s="84"/>
      <c r="GUN25" s="84"/>
      <c r="GUO25" s="84"/>
      <c r="GUP25" s="84"/>
      <c r="GUQ25" s="84"/>
      <c r="GUR25" s="84"/>
      <c r="GUS25" s="84"/>
      <c r="GUT25" s="84"/>
      <c r="GUU25" s="84"/>
      <c r="GUV25" s="84"/>
      <c r="GUW25" s="84"/>
      <c r="GUX25" s="84"/>
      <c r="GUY25" s="84"/>
      <c r="GUZ25" s="84"/>
      <c r="GVA25" s="84"/>
      <c r="GVB25" s="84"/>
      <c r="GVC25" s="84"/>
      <c r="GVD25" s="84"/>
      <c r="GVE25" s="84"/>
      <c r="GVF25" s="84"/>
      <c r="GVG25" s="84"/>
      <c r="GVH25" s="84"/>
      <c r="GVI25" s="84"/>
      <c r="GVJ25" s="84"/>
      <c r="GVK25" s="84"/>
      <c r="GVL25" s="84"/>
      <c r="GVM25" s="84"/>
      <c r="GVN25" s="84"/>
      <c r="GVO25" s="84"/>
      <c r="GVP25" s="84"/>
      <c r="GVQ25" s="84"/>
      <c r="GVR25" s="84"/>
      <c r="GVS25" s="84"/>
      <c r="GVT25" s="84"/>
      <c r="GVU25" s="84"/>
      <c r="GVV25" s="84"/>
      <c r="GVW25" s="84"/>
      <c r="GVX25" s="84"/>
      <c r="GVY25" s="84"/>
      <c r="GVZ25" s="84"/>
      <c r="GWA25" s="84"/>
      <c r="GWB25" s="84"/>
      <c r="GWC25" s="84"/>
      <c r="GWD25" s="84"/>
      <c r="GWE25" s="84"/>
      <c r="GWF25" s="84"/>
      <c r="GWG25" s="84"/>
      <c r="GWH25" s="84"/>
      <c r="GWI25" s="84"/>
      <c r="GWJ25" s="84"/>
      <c r="GWK25" s="84"/>
      <c r="GWL25" s="84"/>
      <c r="GWM25" s="84"/>
      <c r="GWN25" s="84"/>
      <c r="GWO25" s="84"/>
      <c r="GWP25" s="84"/>
      <c r="GWQ25" s="84"/>
      <c r="GWR25" s="84"/>
      <c r="GWS25" s="84"/>
      <c r="GWT25" s="84"/>
      <c r="GWU25" s="84"/>
      <c r="GWV25" s="84"/>
      <c r="GWW25" s="84"/>
      <c r="GWX25" s="84"/>
      <c r="GWY25" s="84"/>
      <c r="GWZ25" s="84"/>
      <c r="GXA25" s="84"/>
      <c r="GXB25" s="84"/>
      <c r="GXC25" s="84"/>
      <c r="GXD25" s="84"/>
      <c r="GXE25" s="84"/>
      <c r="GXF25" s="84"/>
      <c r="GXG25" s="84"/>
      <c r="GXH25" s="84"/>
      <c r="GXI25" s="84"/>
      <c r="GXJ25" s="84"/>
      <c r="GXK25" s="84"/>
      <c r="GXL25" s="84"/>
      <c r="GXM25" s="84"/>
      <c r="GXN25" s="84"/>
      <c r="GXO25" s="84"/>
      <c r="GXP25" s="84"/>
      <c r="GXQ25" s="84"/>
      <c r="GXR25" s="84"/>
      <c r="GXS25" s="84"/>
      <c r="GXT25" s="84"/>
      <c r="GXU25" s="84"/>
      <c r="GXV25" s="84"/>
      <c r="GXW25" s="84"/>
      <c r="GXX25" s="84"/>
      <c r="GXY25" s="84"/>
      <c r="GXZ25" s="84"/>
      <c r="GYA25" s="84"/>
      <c r="GYB25" s="84"/>
      <c r="GYC25" s="84"/>
      <c r="GYD25" s="84"/>
      <c r="GYE25" s="84"/>
      <c r="GYF25" s="84"/>
      <c r="GYG25" s="84"/>
      <c r="GYH25" s="84"/>
      <c r="GYI25" s="84"/>
      <c r="GYJ25" s="84"/>
      <c r="GYK25" s="84"/>
      <c r="GYL25" s="84"/>
      <c r="GYM25" s="84"/>
      <c r="GYN25" s="84"/>
      <c r="GYO25" s="84"/>
      <c r="GYP25" s="84"/>
      <c r="GYQ25" s="84"/>
      <c r="GYR25" s="84"/>
      <c r="GYS25" s="84"/>
      <c r="GYT25" s="84"/>
      <c r="GYU25" s="84"/>
      <c r="GYV25" s="84"/>
      <c r="GYW25" s="84"/>
      <c r="GYX25" s="84"/>
      <c r="GYY25" s="84"/>
      <c r="GYZ25" s="84"/>
      <c r="GZA25" s="84"/>
      <c r="GZB25" s="84"/>
      <c r="GZC25" s="84"/>
      <c r="GZD25" s="84"/>
      <c r="GZE25" s="84"/>
      <c r="GZF25" s="84"/>
      <c r="GZG25" s="84"/>
      <c r="GZH25" s="84"/>
      <c r="GZI25" s="84"/>
      <c r="GZJ25" s="84"/>
      <c r="GZK25" s="84"/>
      <c r="GZL25" s="84"/>
      <c r="GZM25" s="84"/>
      <c r="GZN25" s="84"/>
      <c r="GZO25" s="84"/>
      <c r="GZP25" s="84"/>
      <c r="GZQ25" s="84"/>
      <c r="GZR25" s="84"/>
      <c r="GZS25" s="84"/>
      <c r="GZT25" s="84"/>
      <c r="GZU25" s="84"/>
      <c r="GZV25" s="84"/>
      <c r="GZW25" s="84"/>
      <c r="GZX25" s="84"/>
      <c r="GZY25" s="84"/>
      <c r="GZZ25" s="84"/>
      <c r="HAA25" s="84"/>
      <c r="HAB25" s="84"/>
      <c r="HAC25" s="84"/>
      <c r="HAD25" s="84"/>
      <c r="HAE25" s="84"/>
      <c r="HAF25" s="84"/>
      <c r="HAG25" s="84"/>
      <c r="HAH25" s="84"/>
      <c r="HAI25" s="84"/>
      <c r="HAJ25" s="84"/>
      <c r="HAK25" s="84"/>
      <c r="HAL25" s="84"/>
      <c r="HAM25" s="84"/>
      <c r="HAN25" s="84"/>
      <c r="HAO25" s="84"/>
      <c r="HAP25" s="84"/>
      <c r="HAQ25" s="84"/>
      <c r="HAR25" s="84"/>
      <c r="HAS25" s="84"/>
      <c r="HAT25" s="84"/>
      <c r="HAU25" s="84"/>
      <c r="HAV25" s="84"/>
      <c r="HAW25" s="84"/>
      <c r="HAX25" s="84"/>
      <c r="HAY25" s="84"/>
      <c r="HAZ25" s="84"/>
      <c r="HBA25" s="84"/>
      <c r="HBB25" s="84"/>
      <c r="HBC25" s="84"/>
      <c r="HBD25" s="84"/>
      <c r="HBE25" s="84"/>
      <c r="HBF25" s="84"/>
      <c r="HBG25" s="84"/>
      <c r="HBH25" s="84"/>
      <c r="HBI25" s="84"/>
      <c r="HBJ25" s="84"/>
      <c r="HBK25" s="84"/>
      <c r="HBL25" s="84"/>
      <c r="HBM25" s="84"/>
      <c r="HBN25" s="84"/>
      <c r="HBO25" s="84"/>
      <c r="HBP25" s="84"/>
      <c r="HBQ25" s="84"/>
      <c r="HBR25" s="84"/>
      <c r="HBS25" s="84"/>
      <c r="HBT25" s="84"/>
      <c r="HBU25" s="84"/>
      <c r="HBV25" s="84"/>
      <c r="HBW25" s="84"/>
      <c r="HBX25" s="84"/>
      <c r="HBY25" s="84"/>
      <c r="HBZ25" s="84"/>
      <c r="HCA25" s="84"/>
      <c r="HCB25" s="84"/>
      <c r="HCC25" s="84"/>
      <c r="HCD25" s="84"/>
      <c r="HCE25" s="84"/>
      <c r="HCF25" s="84"/>
      <c r="HCG25" s="84"/>
      <c r="HCH25" s="84"/>
      <c r="HCI25" s="84"/>
      <c r="HCJ25" s="84"/>
      <c r="HCK25" s="84"/>
      <c r="HCL25" s="84"/>
      <c r="HCM25" s="84"/>
      <c r="HCN25" s="84"/>
      <c r="HCO25" s="84"/>
      <c r="HCP25" s="84"/>
      <c r="HCQ25" s="84"/>
      <c r="HCR25" s="84"/>
      <c r="HCS25" s="84"/>
      <c r="HCT25" s="84"/>
      <c r="HCU25" s="84"/>
      <c r="HCV25" s="84"/>
      <c r="HCW25" s="84"/>
      <c r="HCX25" s="84"/>
      <c r="HCY25" s="84"/>
      <c r="HCZ25" s="84"/>
      <c r="HDA25" s="84"/>
      <c r="HDB25" s="84"/>
      <c r="HDC25" s="84"/>
      <c r="HDD25" s="84"/>
      <c r="HDE25" s="84"/>
      <c r="HDF25" s="84"/>
      <c r="HDG25" s="84"/>
      <c r="HDH25" s="84"/>
      <c r="HDI25" s="84"/>
      <c r="HDJ25" s="84"/>
      <c r="HDK25" s="84"/>
      <c r="HDL25" s="84"/>
      <c r="HDM25" s="84"/>
      <c r="HDN25" s="84"/>
      <c r="HDO25" s="84"/>
      <c r="HDP25" s="84"/>
      <c r="HDQ25" s="84"/>
      <c r="HDR25" s="84"/>
      <c r="HDS25" s="84"/>
      <c r="HDT25" s="84"/>
      <c r="HDU25" s="84"/>
      <c r="HDV25" s="84"/>
      <c r="HDW25" s="84"/>
      <c r="HDX25" s="84"/>
      <c r="HDY25" s="84"/>
      <c r="HDZ25" s="84"/>
      <c r="HEA25" s="84"/>
      <c r="HEB25" s="84"/>
      <c r="HEC25" s="84"/>
      <c r="HED25" s="84"/>
      <c r="HEE25" s="84"/>
      <c r="HEF25" s="84"/>
      <c r="HEG25" s="84"/>
      <c r="HEH25" s="84"/>
      <c r="HEI25" s="84"/>
      <c r="HEJ25" s="84"/>
      <c r="HEK25" s="84"/>
      <c r="HEL25" s="84"/>
      <c r="HEM25" s="84"/>
      <c r="HEN25" s="84"/>
      <c r="HEO25" s="84"/>
      <c r="HEP25" s="84"/>
      <c r="HEQ25" s="84"/>
      <c r="HER25" s="84"/>
      <c r="HES25" s="84"/>
      <c r="HET25" s="84"/>
      <c r="HEU25" s="84"/>
      <c r="HEV25" s="84"/>
      <c r="HEW25" s="84"/>
      <c r="HEX25" s="84"/>
      <c r="HEY25" s="84"/>
      <c r="HEZ25" s="84"/>
      <c r="HFA25" s="84"/>
      <c r="HFB25" s="84"/>
      <c r="HFC25" s="84"/>
      <c r="HFD25" s="84"/>
      <c r="HFE25" s="84"/>
      <c r="HFF25" s="84"/>
      <c r="HFG25" s="84"/>
      <c r="HFH25" s="84"/>
      <c r="HFI25" s="84"/>
      <c r="HFJ25" s="84"/>
      <c r="HFK25" s="84"/>
      <c r="HFL25" s="84"/>
      <c r="HFM25" s="84"/>
      <c r="HFN25" s="84"/>
      <c r="HFO25" s="84"/>
      <c r="HFP25" s="84"/>
      <c r="HFQ25" s="84"/>
      <c r="HFR25" s="84"/>
      <c r="HFS25" s="84"/>
      <c r="HFT25" s="84"/>
      <c r="HFU25" s="84"/>
      <c r="HFV25" s="84"/>
      <c r="HFW25" s="84"/>
      <c r="HFX25" s="84"/>
      <c r="HFY25" s="84"/>
      <c r="HFZ25" s="84"/>
      <c r="HGA25" s="84"/>
      <c r="HGB25" s="84"/>
      <c r="HGC25" s="84"/>
      <c r="HGD25" s="84"/>
      <c r="HGE25" s="84"/>
      <c r="HGF25" s="84"/>
      <c r="HGG25" s="84"/>
      <c r="HGH25" s="84"/>
      <c r="HGI25" s="84"/>
      <c r="HGJ25" s="84"/>
      <c r="HGK25" s="84"/>
      <c r="HGL25" s="84"/>
      <c r="HGM25" s="84"/>
      <c r="HGN25" s="84"/>
      <c r="HGO25" s="84"/>
      <c r="HGP25" s="84"/>
      <c r="HGQ25" s="84"/>
      <c r="HGR25" s="84"/>
      <c r="HGS25" s="84"/>
      <c r="HGT25" s="84"/>
      <c r="HGU25" s="84"/>
      <c r="HGV25" s="84"/>
      <c r="HGW25" s="84"/>
      <c r="HGX25" s="84"/>
      <c r="HGY25" s="84"/>
      <c r="HGZ25" s="84"/>
      <c r="HHA25" s="84"/>
      <c r="HHB25" s="84"/>
      <c r="HHC25" s="84"/>
      <c r="HHD25" s="84"/>
      <c r="HHE25" s="84"/>
      <c r="HHF25" s="84"/>
      <c r="HHG25" s="84"/>
      <c r="HHH25" s="84"/>
      <c r="HHI25" s="84"/>
      <c r="HHJ25" s="84"/>
      <c r="HHK25" s="84"/>
      <c r="HHL25" s="84"/>
      <c r="HHM25" s="84"/>
      <c r="HHN25" s="84"/>
      <c r="HHO25" s="84"/>
      <c r="HHP25" s="84"/>
      <c r="HHQ25" s="84"/>
      <c r="HHR25" s="84"/>
      <c r="HHS25" s="84"/>
      <c r="HHT25" s="84"/>
      <c r="HHU25" s="84"/>
      <c r="HHV25" s="84"/>
      <c r="HHW25" s="84"/>
      <c r="HHX25" s="84"/>
      <c r="HHY25" s="84"/>
      <c r="HHZ25" s="84"/>
      <c r="HIA25" s="84"/>
      <c r="HIB25" s="84"/>
      <c r="HIC25" s="84"/>
      <c r="HID25" s="84"/>
      <c r="HIE25" s="84"/>
      <c r="HIF25" s="84"/>
      <c r="HIG25" s="84"/>
      <c r="HIH25" s="84"/>
      <c r="HII25" s="84"/>
      <c r="HIJ25" s="84"/>
      <c r="HIK25" s="84"/>
      <c r="HIL25" s="84"/>
      <c r="HIM25" s="84"/>
      <c r="HIN25" s="84"/>
      <c r="HIO25" s="84"/>
      <c r="HIP25" s="84"/>
      <c r="HIQ25" s="84"/>
      <c r="HIR25" s="84"/>
      <c r="HIS25" s="84"/>
      <c r="HIT25" s="84"/>
      <c r="HIU25" s="84"/>
      <c r="HIV25" s="84"/>
      <c r="HIW25" s="84"/>
      <c r="HIX25" s="84"/>
      <c r="HIY25" s="84"/>
      <c r="HIZ25" s="84"/>
      <c r="HJA25" s="84"/>
      <c r="HJB25" s="84"/>
      <c r="HJC25" s="84"/>
      <c r="HJD25" s="84"/>
      <c r="HJE25" s="84"/>
      <c r="HJF25" s="84"/>
      <c r="HJG25" s="84"/>
      <c r="HJH25" s="84"/>
      <c r="HJI25" s="84"/>
      <c r="HJJ25" s="84"/>
      <c r="HJK25" s="84"/>
      <c r="HJL25" s="84"/>
      <c r="HJM25" s="84"/>
      <c r="HJN25" s="84"/>
      <c r="HJO25" s="84"/>
      <c r="HJP25" s="84"/>
      <c r="HJQ25" s="84"/>
      <c r="HJR25" s="84"/>
      <c r="HJS25" s="84"/>
      <c r="HJT25" s="84"/>
      <c r="HJU25" s="84"/>
      <c r="HJV25" s="84"/>
      <c r="HJW25" s="84"/>
      <c r="HJX25" s="84"/>
      <c r="HJY25" s="84"/>
      <c r="HJZ25" s="84"/>
      <c r="HKA25" s="84"/>
      <c r="HKB25" s="84"/>
      <c r="HKC25" s="84"/>
      <c r="HKD25" s="84"/>
      <c r="HKE25" s="84"/>
      <c r="HKF25" s="84"/>
      <c r="HKG25" s="84"/>
      <c r="HKH25" s="84"/>
      <c r="HKI25" s="84"/>
      <c r="HKJ25" s="84"/>
      <c r="HKK25" s="84"/>
      <c r="HKL25" s="84"/>
      <c r="HKM25" s="84"/>
      <c r="HKN25" s="84"/>
      <c r="HKO25" s="84"/>
      <c r="HKP25" s="84"/>
      <c r="HKQ25" s="84"/>
      <c r="HKR25" s="84"/>
      <c r="HKS25" s="84"/>
      <c r="HKT25" s="84"/>
      <c r="HKU25" s="84"/>
      <c r="HKV25" s="84"/>
      <c r="HKW25" s="84"/>
      <c r="HKX25" s="84"/>
      <c r="HKY25" s="84"/>
      <c r="HKZ25" s="84"/>
      <c r="HLA25" s="84"/>
      <c r="HLB25" s="84"/>
      <c r="HLC25" s="84"/>
      <c r="HLD25" s="84"/>
      <c r="HLE25" s="84"/>
      <c r="HLF25" s="84"/>
      <c r="HLG25" s="84"/>
      <c r="HLH25" s="84"/>
      <c r="HLI25" s="84"/>
      <c r="HLJ25" s="84"/>
      <c r="HLK25" s="84"/>
      <c r="HLL25" s="84"/>
      <c r="HLM25" s="84"/>
      <c r="HLN25" s="84"/>
      <c r="HLO25" s="84"/>
      <c r="HLP25" s="84"/>
      <c r="HLQ25" s="84"/>
      <c r="HLR25" s="84"/>
      <c r="HLS25" s="84"/>
      <c r="HLT25" s="84"/>
      <c r="HLU25" s="84"/>
      <c r="HLV25" s="84"/>
      <c r="HLW25" s="84"/>
      <c r="HLX25" s="84"/>
      <c r="HLY25" s="84"/>
      <c r="HLZ25" s="84"/>
      <c r="HMA25" s="84"/>
      <c r="HMB25" s="84"/>
      <c r="HMC25" s="84"/>
      <c r="HMD25" s="84"/>
      <c r="HME25" s="84"/>
      <c r="HMF25" s="84"/>
      <c r="HMG25" s="84"/>
      <c r="HMH25" s="84"/>
      <c r="HMI25" s="84"/>
      <c r="HMJ25" s="84"/>
      <c r="HMK25" s="84"/>
      <c r="HML25" s="84"/>
      <c r="HMM25" s="84"/>
      <c r="HMN25" s="84"/>
      <c r="HMO25" s="84"/>
      <c r="HMP25" s="84"/>
      <c r="HMQ25" s="84"/>
      <c r="HMR25" s="84"/>
      <c r="HMS25" s="84"/>
      <c r="HMT25" s="84"/>
      <c r="HMU25" s="84"/>
      <c r="HMV25" s="84"/>
      <c r="HMW25" s="84"/>
      <c r="HMX25" s="84"/>
      <c r="HMY25" s="84"/>
      <c r="HMZ25" s="84"/>
      <c r="HNA25" s="84"/>
      <c r="HNB25" s="84"/>
      <c r="HNC25" s="84"/>
      <c r="HND25" s="84"/>
      <c r="HNE25" s="84"/>
      <c r="HNF25" s="84"/>
      <c r="HNG25" s="84"/>
      <c r="HNH25" s="84"/>
      <c r="HNI25" s="84"/>
      <c r="HNJ25" s="84"/>
      <c r="HNK25" s="84"/>
      <c r="HNL25" s="84"/>
      <c r="HNM25" s="84"/>
      <c r="HNN25" s="84"/>
      <c r="HNO25" s="84"/>
      <c r="HNP25" s="84"/>
      <c r="HNQ25" s="84"/>
      <c r="HNR25" s="84"/>
      <c r="HNS25" s="84"/>
      <c r="HNT25" s="84"/>
      <c r="HNU25" s="84"/>
      <c r="HNV25" s="84"/>
      <c r="HNW25" s="84"/>
      <c r="HNX25" s="84"/>
      <c r="HNY25" s="84"/>
      <c r="HNZ25" s="84"/>
      <c r="HOA25" s="84"/>
      <c r="HOB25" s="84"/>
      <c r="HOC25" s="84"/>
      <c r="HOD25" s="84"/>
      <c r="HOE25" s="84"/>
      <c r="HOF25" s="84"/>
      <c r="HOG25" s="84"/>
      <c r="HOH25" s="84"/>
      <c r="HOI25" s="84"/>
      <c r="HOJ25" s="84"/>
      <c r="HOK25" s="84"/>
      <c r="HOL25" s="84"/>
      <c r="HOM25" s="84"/>
      <c r="HON25" s="84"/>
      <c r="HOO25" s="84"/>
      <c r="HOP25" s="84"/>
      <c r="HOQ25" s="84"/>
      <c r="HOR25" s="84"/>
      <c r="HOS25" s="84"/>
      <c r="HOT25" s="84"/>
      <c r="HOU25" s="84"/>
      <c r="HOV25" s="84"/>
      <c r="HOW25" s="84"/>
      <c r="HOX25" s="84"/>
      <c r="HOY25" s="84"/>
      <c r="HOZ25" s="84"/>
      <c r="HPA25" s="84"/>
      <c r="HPB25" s="84"/>
      <c r="HPC25" s="84"/>
      <c r="HPD25" s="84"/>
      <c r="HPE25" s="84"/>
      <c r="HPF25" s="84"/>
      <c r="HPG25" s="84"/>
      <c r="HPH25" s="84"/>
      <c r="HPI25" s="84"/>
      <c r="HPJ25" s="84"/>
      <c r="HPK25" s="84"/>
      <c r="HPL25" s="84"/>
      <c r="HPM25" s="84"/>
      <c r="HPN25" s="84"/>
      <c r="HPO25" s="84"/>
      <c r="HPP25" s="84"/>
      <c r="HPQ25" s="84"/>
      <c r="HPR25" s="84"/>
      <c r="HPS25" s="84"/>
      <c r="HPT25" s="84"/>
      <c r="HPU25" s="84"/>
      <c r="HPV25" s="84"/>
      <c r="HPW25" s="84"/>
      <c r="HPX25" s="84"/>
      <c r="HPY25" s="84"/>
      <c r="HPZ25" s="84"/>
      <c r="HQA25" s="84"/>
      <c r="HQB25" s="84"/>
      <c r="HQC25" s="84"/>
      <c r="HQD25" s="84"/>
      <c r="HQE25" s="84"/>
      <c r="HQF25" s="84"/>
      <c r="HQG25" s="84"/>
      <c r="HQH25" s="84"/>
      <c r="HQI25" s="84"/>
      <c r="HQJ25" s="84"/>
      <c r="HQK25" s="84"/>
      <c r="HQL25" s="84"/>
      <c r="HQM25" s="84"/>
      <c r="HQN25" s="84"/>
      <c r="HQO25" s="84"/>
      <c r="HQP25" s="84"/>
      <c r="HQQ25" s="84"/>
      <c r="HQR25" s="84"/>
      <c r="HQS25" s="84"/>
      <c r="HQT25" s="84"/>
      <c r="HQU25" s="84"/>
      <c r="HQV25" s="84"/>
      <c r="HQW25" s="84"/>
      <c r="HQX25" s="84"/>
      <c r="HQY25" s="84"/>
      <c r="HQZ25" s="84"/>
      <c r="HRA25" s="84"/>
      <c r="HRB25" s="84"/>
      <c r="HRC25" s="84"/>
      <c r="HRD25" s="84"/>
      <c r="HRE25" s="84"/>
      <c r="HRF25" s="84"/>
      <c r="HRG25" s="84"/>
      <c r="HRH25" s="84"/>
      <c r="HRI25" s="84"/>
      <c r="HRJ25" s="84"/>
      <c r="HRK25" s="84"/>
      <c r="HRL25" s="84"/>
      <c r="HRM25" s="84"/>
      <c r="HRN25" s="84"/>
      <c r="HRO25" s="84"/>
      <c r="HRP25" s="84"/>
      <c r="HRQ25" s="84"/>
      <c r="HRR25" s="84"/>
      <c r="HRS25" s="84"/>
      <c r="HRT25" s="84"/>
      <c r="HRU25" s="84"/>
      <c r="HRV25" s="84"/>
      <c r="HRW25" s="84"/>
      <c r="HRX25" s="84"/>
      <c r="HRY25" s="84"/>
      <c r="HRZ25" s="84"/>
      <c r="HSA25" s="84"/>
      <c r="HSB25" s="84"/>
      <c r="HSC25" s="84"/>
      <c r="HSD25" s="84"/>
      <c r="HSE25" s="84"/>
      <c r="HSF25" s="84"/>
      <c r="HSG25" s="84"/>
      <c r="HSH25" s="84"/>
      <c r="HSI25" s="84"/>
      <c r="HSJ25" s="84"/>
      <c r="HSK25" s="84"/>
      <c r="HSL25" s="84"/>
      <c r="HSM25" s="84"/>
      <c r="HSN25" s="84"/>
      <c r="HSO25" s="84"/>
      <c r="HSP25" s="84"/>
      <c r="HSQ25" s="84"/>
      <c r="HSR25" s="84"/>
      <c r="HSS25" s="84"/>
      <c r="HST25" s="84"/>
      <c r="HSU25" s="84"/>
      <c r="HSV25" s="84"/>
      <c r="HSW25" s="84"/>
      <c r="HSX25" s="84"/>
      <c r="HSY25" s="84"/>
      <c r="HSZ25" s="84"/>
      <c r="HTA25" s="84"/>
      <c r="HTB25" s="84"/>
      <c r="HTC25" s="84"/>
      <c r="HTD25" s="84"/>
      <c r="HTE25" s="84"/>
      <c r="HTF25" s="84"/>
      <c r="HTG25" s="84"/>
      <c r="HTH25" s="84"/>
      <c r="HTI25" s="84"/>
      <c r="HTJ25" s="84"/>
      <c r="HTK25" s="84"/>
      <c r="HTL25" s="84"/>
      <c r="HTM25" s="84"/>
      <c r="HTN25" s="84"/>
      <c r="HTO25" s="84"/>
      <c r="HTP25" s="84"/>
      <c r="HTQ25" s="84"/>
      <c r="HTR25" s="84"/>
      <c r="HTS25" s="84"/>
      <c r="HTT25" s="84"/>
      <c r="HTU25" s="84"/>
      <c r="HTV25" s="84"/>
      <c r="HTW25" s="84"/>
      <c r="HTX25" s="84"/>
      <c r="HTY25" s="84"/>
      <c r="HTZ25" s="84"/>
      <c r="HUA25" s="84"/>
      <c r="HUB25" s="84"/>
      <c r="HUC25" s="84"/>
      <c r="HUD25" s="84"/>
      <c r="HUE25" s="84"/>
      <c r="HUF25" s="84"/>
      <c r="HUG25" s="84"/>
      <c r="HUH25" s="84"/>
      <c r="HUI25" s="84"/>
      <c r="HUJ25" s="84"/>
      <c r="HUK25" s="84"/>
      <c r="HUL25" s="84"/>
      <c r="HUM25" s="84"/>
      <c r="HUN25" s="84"/>
      <c r="HUO25" s="84"/>
      <c r="HUP25" s="84"/>
      <c r="HUQ25" s="84"/>
      <c r="HUR25" s="84"/>
      <c r="HUS25" s="84"/>
      <c r="HUT25" s="84"/>
      <c r="HUU25" s="84"/>
      <c r="HUV25" s="84"/>
      <c r="HUW25" s="84"/>
      <c r="HUX25" s="84"/>
      <c r="HUY25" s="84"/>
      <c r="HUZ25" s="84"/>
      <c r="HVA25" s="84"/>
      <c r="HVB25" s="84"/>
      <c r="HVC25" s="84"/>
      <c r="HVD25" s="84"/>
      <c r="HVE25" s="84"/>
      <c r="HVF25" s="84"/>
      <c r="HVG25" s="84"/>
      <c r="HVH25" s="84"/>
      <c r="HVI25" s="84"/>
      <c r="HVJ25" s="84"/>
      <c r="HVK25" s="84"/>
      <c r="HVL25" s="84"/>
      <c r="HVM25" s="84"/>
      <c r="HVN25" s="84"/>
      <c r="HVO25" s="84"/>
      <c r="HVP25" s="84"/>
      <c r="HVQ25" s="84"/>
      <c r="HVR25" s="84"/>
      <c r="HVS25" s="84"/>
      <c r="HVT25" s="84"/>
      <c r="HVU25" s="84"/>
      <c r="HVV25" s="84"/>
      <c r="HVW25" s="84"/>
      <c r="HVX25" s="84"/>
      <c r="HVY25" s="84"/>
      <c r="HVZ25" s="84"/>
      <c r="HWA25" s="84"/>
      <c r="HWB25" s="84"/>
      <c r="HWC25" s="84"/>
      <c r="HWD25" s="84"/>
      <c r="HWE25" s="84"/>
      <c r="HWF25" s="84"/>
      <c r="HWG25" s="84"/>
      <c r="HWH25" s="84"/>
      <c r="HWI25" s="84"/>
      <c r="HWJ25" s="84"/>
      <c r="HWK25" s="84"/>
      <c r="HWL25" s="84"/>
      <c r="HWM25" s="84"/>
      <c r="HWN25" s="84"/>
      <c r="HWO25" s="84"/>
      <c r="HWP25" s="84"/>
      <c r="HWQ25" s="84"/>
      <c r="HWR25" s="84"/>
      <c r="HWS25" s="84"/>
      <c r="HWT25" s="84"/>
      <c r="HWU25" s="84"/>
      <c r="HWV25" s="84"/>
      <c r="HWW25" s="84"/>
      <c r="HWX25" s="84"/>
      <c r="HWY25" s="84"/>
      <c r="HWZ25" s="84"/>
      <c r="HXA25" s="84"/>
      <c r="HXB25" s="84"/>
      <c r="HXC25" s="84"/>
      <c r="HXD25" s="84"/>
      <c r="HXE25" s="84"/>
      <c r="HXF25" s="84"/>
      <c r="HXG25" s="84"/>
      <c r="HXH25" s="84"/>
      <c r="HXI25" s="84"/>
      <c r="HXJ25" s="84"/>
      <c r="HXK25" s="84"/>
      <c r="HXL25" s="84"/>
      <c r="HXM25" s="84"/>
      <c r="HXN25" s="84"/>
      <c r="HXO25" s="84"/>
      <c r="HXP25" s="84"/>
      <c r="HXQ25" s="84"/>
      <c r="HXR25" s="84"/>
      <c r="HXS25" s="84"/>
      <c r="HXT25" s="84"/>
      <c r="HXU25" s="84"/>
      <c r="HXV25" s="84"/>
      <c r="HXW25" s="84"/>
      <c r="HXX25" s="84"/>
      <c r="HXY25" s="84"/>
      <c r="HXZ25" s="84"/>
      <c r="HYA25" s="84"/>
      <c r="HYB25" s="84"/>
      <c r="HYC25" s="84"/>
      <c r="HYD25" s="84"/>
      <c r="HYE25" s="84"/>
      <c r="HYF25" s="84"/>
      <c r="HYG25" s="84"/>
      <c r="HYH25" s="84"/>
      <c r="HYI25" s="84"/>
      <c r="HYJ25" s="84"/>
      <c r="HYK25" s="84"/>
      <c r="HYL25" s="84"/>
      <c r="HYM25" s="84"/>
      <c r="HYN25" s="84"/>
      <c r="HYO25" s="84"/>
      <c r="HYP25" s="84"/>
      <c r="HYQ25" s="84"/>
      <c r="HYR25" s="84"/>
      <c r="HYS25" s="84"/>
      <c r="HYT25" s="84"/>
      <c r="HYU25" s="84"/>
      <c r="HYV25" s="84"/>
      <c r="HYW25" s="84"/>
      <c r="HYX25" s="84"/>
      <c r="HYY25" s="84"/>
      <c r="HYZ25" s="84"/>
      <c r="HZA25" s="84"/>
      <c r="HZB25" s="84"/>
      <c r="HZC25" s="84"/>
      <c r="HZD25" s="84"/>
      <c r="HZE25" s="84"/>
      <c r="HZF25" s="84"/>
      <c r="HZG25" s="84"/>
      <c r="HZH25" s="84"/>
      <c r="HZI25" s="84"/>
      <c r="HZJ25" s="84"/>
      <c r="HZK25" s="84"/>
      <c r="HZL25" s="84"/>
      <c r="HZM25" s="84"/>
      <c r="HZN25" s="84"/>
      <c r="HZO25" s="84"/>
      <c r="HZP25" s="84"/>
      <c r="HZQ25" s="84"/>
      <c r="HZR25" s="84"/>
      <c r="HZS25" s="84"/>
      <c r="HZT25" s="84"/>
      <c r="HZU25" s="84"/>
      <c r="HZV25" s="84"/>
      <c r="HZW25" s="84"/>
      <c r="HZX25" s="84"/>
      <c r="HZY25" s="84"/>
      <c r="HZZ25" s="84"/>
      <c r="IAA25" s="84"/>
      <c r="IAB25" s="84"/>
      <c r="IAC25" s="84"/>
      <c r="IAD25" s="84"/>
      <c r="IAE25" s="84"/>
      <c r="IAF25" s="84"/>
      <c r="IAG25" s="84"/>
      <c r="IAH25" s="84"/>
      <c r="IAI25" s="84"/>
      <c r="IAJ25" s="84"/>
      <c r="IAK25" s="84"/>
      <c r="IAL25" s="84"/>
      <c r="IAM25" s="84"/>
      <c r="IAN25" s="84"/>
      <c r="IAO25" s="84"/>
      <c r="IAP25" s="84"/>
      <c r="IAQ25" s="84"/>
      <c r="IAR25" s="84"/>
      <c r="IAS25" s="84"/>
      <c r="IAT25" s="84"/>
      <c r="IAU25" s="84"/>
      <c r="IAV25" s="84"/>
      <c r="IAW25" s="84"/>
      <c r="IAX25" s="84"/>
      <c r="IAY25" s="84"/>
      <c r="IAZ25" s="84"/>
      <c r="IBA25" s="84"/>
      <c r="IBB25" s="84"/>
      <c r="IBC25" s="84"/>
      <c r="IBD25" s="84"/>
      <c r="IBE25" s="84"/>
      <c r="IBF25" s="84"/>
      <c r="IBG25" s="84"/>
      <c r="IBH25" s="84"/>
      <c r="IBI25" s="84"/>
      <c r="IBJ25" s="84"/>
      <c r="IBK25" s="84"/>
      <c r="IBL25" s="84"/>
      <c r="IBM25" s="84"/>
      <c r="IBN25" s="84"/>
      <c r="IBO25" s="84"/>
      <c r="IBP25" s="84"/>
      <c r="IBQ25" s="84"/>
      <c r="IBR25" s="84"/>
      <c r="IBS25" s="84"/>
      <c r="IBT25" s="84"/>
      <c r="IBU25" s="84"/>
      <c r="IBV25" s="84"/>
      <c r="IBW25" s="84"/>
      <c r="IBX25" s="84"/>
      <c r="IBY25" s="84"/>
      <c r="IBZ25" s="84"/>
      <c r="ICA25" s="84"/>
      <c r="ICB25" s="84"/>
      <c r="ICC25" s="84"/>
      <c r="ICD25" s="84"/>
      <c r="ICE25" s="84"/>
      <c r="ICF25" s="84"/>
      <c r="ICG25" s="84"/>
      <c r="ICH25" s="84"/>
      <c r="ICI25" s="84"/>
      <c r="ICJ25" s="84"/>
      <c r="ICK25" s="84"/>
      <c r="ICL25" s="84"/>
      <c r="ICM25" s="84"/>
      <c r="ICN25" s="84"/>
      <c r="ICO25" s="84"/>
      <c r="ICP25" s="84"/>
      <c r="ICQ25" s="84"/>
      <c r="ICR25" s="84"/>
      <c r="ICS25" s="84"/>
      <c r="ICT25" s="84"/>
      <c r="ICU25" s="84"/>
      <c r="ICV25" s="84"/>
      <c r="ICW25" s="84"/>
      <c r="ICX25" s="84"/>
      <c r="ICY25" s="84"/>
      <c r="ICZ25" s="84"/>
      <c r="IDA25" s="84"/>
      <c r="IDB25" s="84"/>
      <c r="IDC25" s="84"/>
      <c r="IDD25" s="84"/>
      <c r="IDE25" s="84"/>
      <c r="IDF25" s="84"/>
      <c r="IDG25" s="84"/>
      <c r="IDH25" s="84"/>
      <c r="IDI25" s="84"/>
      <c r="IDJ25" s="84"/>
      <c r="IDK25" s="84"/>
      <c r="IDL25" s="84"/>
      <c r="IDM25" s="84"/>
      <c r="IDN25" s="84"/>
      <c r="IDO25" s="84"/>
      <c r="IDP25" s="84"/>
      <c r="IDQ25" s="84"/>
      <c r="IDR25" s="84"/>
      <c r="IDS25" s="84"/>
      <c r="IDT25" s="84"/>
      <c r="IDU25" s="84"/>
      <c r="IDV25" s="84"/>
      <c r="IDW25" s="84"/>
      <c r="IDX25" s="84"/>
      <c r="IDY25" s="84"/>
      <c r="IDZ25" s="84"/>
      <c r="IEA25" s="84"/>
      <c r="IEB25" s="84"/>
      <c r="IEC25" s="84"/>
      <c r="IED25" s="84"/>
      <c r="IEE25" s="84"/>
      <c r="IEF25" s="84"/>
      <c r="IEG25" s="84"/>
      <c r="IEH25" s="84"/>
      <c r="IEI25" s="84"/>
      <c r="IEJ25" s="84"/>
      <c r="IEK25" s="84"/>
      <c r="IEL25" s="84"/>
      <c r="IEM25" s="84"/>
      <c r="IEN25" s="84"/>
      <c r="IEO25" s="84"/>
      <c r="IEP25" s="84"/>
      <c r="IEQ25" s="84"/>
      <c r="IER25" s="84"/>
      <c r="IES25" s="84"/>
      <c r="IET25" s="84"/>
      <c r="IEU25" s="84"/>
      <c r="IEV25" s="84"/>
      <c r="IEW25" s="84"/>
      <c r="IEX25" s="84"/>
      <c r="IEY25" s="84"/>
      <c r="IEZ25" s="84"/>
      <c r="IFA25" s="84"/>
      <c r="IFB25" s="84"/>
      <c r="IFC25" s="84"/>
      <c r="IFD25" s="84"/>
      <c r="IFE25" s="84"/>
      <c r="IFF25" s="84"/>
      <c r="IFG25" s="84"/>
      <c r="IFH25" s="84"/>
      <c r="IFI25" s="84"/>
      <c r="IFJ25" s="84"/>
      <c r="IFK25" s="84"/>
      <c r="IFL25" s="84"/>
      <c r="IFM25" s="84"/>
      <c r="IFN25" s="84"/>
      <c r="IFO25" s="84"/>
      <c r="IFP25" s="84"/>
      <c r="IFQ25" s="84"/>
      <c r="IFR25" s="84"/>
      <c r="IFS25" s="84"/>
      <c r="IFT25" s="84"/>
      <c r="IFU25" s="84"/>
      <c r="IFV25" s="84"/>
      <c r="IFW25" s="84"/>
      <c r="IFX25" s="84"/>
      <c r="IFY25" s="84"/>
      <c r="IFZ25" s="84"/>
      <c r="IGA25" s="84"/>
      <c r="IGB25" s="84"/>
      <c r="IGC25" s="84"/>
      <c r="IGD25" s="84"/>
      <c r="IGE25" s="84"/>
      <c r="IGF25" s="84"/>
      <c r="IGG25" s="84"/>
      <c r="IGH25" s="84"/>
      <c r="IGI25" s="84"/>
      <c r="IGJ25" s="84"/>
      <c r="IGK25" s="84"/>
      <c r="IGL25" s="84"/>
      <c r="IGM25" s="84"/>
      <c r="IGN25" s="84"/>
      <c r="IGO25" s="84"/>
      <c r="IGP25" s="84"/>
      <c r="IGQ25" s="84"/>
      <c r="IGR25" s="84"/>
      <c r="IGS25" s="84"/>
      <c r="IGT25" s="84"/>
      <c r="IGU25" s="84"/>
      <c r="IGV25" s="84"/>
      <c r="IGW25" s="84"/>
      <c r="IGX25" s="84"/>
      <c r="IGY25" s="84"/>
      <c r="IGZ25" s="84"/>
      <c r="IHA25" s="84"/>
      <c r="IHB25" s="84"/>
      <c r="IHC25" s="84"/>
      <c r="IHD25" s="84"/>
      <c r="IHE25" s="84"/>
      <c r="IHF25" s="84"/>
      <c r="IHG25" s="84"/>
      <c r="IHH25" s="84"/>
      <c r="IHI25" s="84"/>
      <c r="IHJ25" s="84"/>
      <c r="IHK25" s="84"/>
      <c r="IHL25" s="84"/>
      <c r="IHM25" s="84"/>
      <c r="IHN25" s="84"/>
      <c r="IHO25" s="84"/>
      <c r="IHP25" s="84"/>
      <c r="IHQ25" s="84"/>
      <c r="IHR25" s="84"/>
      <c r="IHS25" s="84"/>
      <c r="IHT25" s="84"/>
      <c r="IHU25" s="84"/>
      <c r="IHV25" s="84"/>
      <c r="IHW25" s="84"/>
      <c r="IHX25" s="84"/>
      <c r="IHY25" s="84"/>
      <c r="IHZ25" s="84"/>
      <c r="IIA25" s="84"/>
      <c r="IIB25" s="84"/>
      <c r="IIC25" s="84"/>
      <c r="IID25" s="84"/>
      <c r="IIE25" s="84"/>
      <c r="IIF25" s="84"/>
      <c r="IIG25" s="84"/>
      <c r="IIH25" s="84"/>
      <c r="III25" s="84"/>
      <c r="IIJ25" s="84"/>
      <c r="IIK25" s="84"/>
      <c r="IIL25" s="84"/>
      <c r="IIM25" s="84"/>
      <c r="IIN25" s="84"/>
      <c r="IIO25" s="84"/>
      <c r="IIP25" s="84"/>
      <c r="IIQ25" s="84"/>
      <c r="IIR25" s="84"/>
      <c r="IIS25" s="84"/>
      <c r="IIT25" s="84"/>
      <c r="IIU25" s="84"/>
      <c r="IIV25" s="84"/>
      <c r="IIW25" s="84"/>
      <c r="IIX25" s="84"/>
      <c r="IIY25" s="84"/>
      <c r="IIZ25" s="84"/>
      <c r="IJA25" s="84"/>
      <c r="IJB25" s="84"/>
      <c r="IJC25" s="84"/>
      <c r="IJD25" s="84"/>
      <c r="IJE25" s="84"/>
      <c r="IJF25" s="84"/>
      <c r="IJG25" s="84"/>
      <c r="IJH25" s="84"/>
      <c r="IJI25" s="84"/>
      <c r="IJJ25" s="84"/>
      <c r="IJK25" s="84"/>
      <c r="IJL25" s="84"/>
      <c r="IJM25" s="84"/>
      <c r="IJN25" s="84"/>
      <c r="IJO25" s="84"/>
      <c r="IJP25" s="84"/>
      <c r="IJQ25" s="84"/>
      <c r="IJR25" s="84"/>
      <c r="IJS25" s="84"/>
      <c r="IJT25" s="84"/>
      <c r="IJU25" s="84"/>
      <c r="IJV25" s="84"/>
      <c r="IJW25" s="84"/>
      <c r="IJX25" s="84"/>
      <c r="IJY25" s="84"/>
      <c r="IJZ25" s="84"/>
      <c r="IKA25" s="84"/>
      <c r="IKB25" s="84"/>
      <c r="IKC25" s="84"/>
      <c r="IKD25" s="84"/>
      <c r="IKE25" s="84"/>
      <c r="IKF25" s="84"/>
      <c r="IKG25" s="84"/>
      <c r="IKH25" s="84"/>
      <c r="IKI25" s="84"/>
      <c r="IKJ25" s="84"/>
      <c r="IKK25" s="84"/>
      <c r="IKL25" s="84"/>
      <c r="IKM25" s="84"/>
      <c r="IKN25" s="84"/>
      <c r="IKO25" s="84"/>
      <c r="IKP25" s="84"/>
      <c r="IKQ25" s="84"/>
      <c r="IKR25" s="84"/>
      <c r="IKS25" s="84"/>
      <c r="IKT25" s="84"/>
      <c r="IKU25" s="84"/>
      <c r="IKV25" s="84"/>
      <c r="IKW25" s="84"/>
      <c r="IKX25" s="84"/>
      <c r="IKY25" s="84"/>
      <c r="IKZ25" s="84"/>
      <c r="ILA25" s="84"/>
      <c r="ILB25" s="84"/>
      <c r="ILC25" s="84"/>
      <c r="ILD25" s="84"/>
      <c r="ILE25" s="84"/>
      <c r="ILF25" s="84"/>
      <c r="ILG25" s="84"/>
      <c r="ILH25" s="84"/>
      <c r="ILI25" s="84"/>
      <c r="ILJ25" s="84"/>
      <c r="ILK25" s="84"/>
      <c r="ILL25" s="84"/>
      <c r="ILM25" s="84"/>
      <c r="ILN25" s="84"/>
      <c r="ILO25" s="84"/>
      <c r="ILP25" s="84"/>
      <c r="ILQ25" s="84"/>
      <c r="ILR25" s="84"/>
      <c r="ILS25" s="84"/>
      <c r="ILT25" s="84"/>
      <c r="ILU25" s="84"/>
      <c r="ILV25" s="84"/>
      <c r="ILW25" s="84"/>
      <c r="ILX25" s="84"/>
      <c r="ILY25" s="84"/>
      <c r="ILZ25" s="84"/>
      <c r="IMA25" s="84"/>
      <c r="IMB25" s="84"/>
      <c r="IMC25" s="84"/>
      <c r="IMD25" s="84"/>
      <c r="IME25" s="84"/>
      <c r="IMF25" s="84"/>
      <c r="IMG25" s="84"/>
      <c r="IMH25" s="84"/>
      <c r="IMI25" s="84"/>
      <c r="IMJ25" s="84"/>
      <c r="IMK25" s="84"/>
      <c r="IML25" s="84"/>
      <c r="IMM25" s="84"/>
      <c r="IMN25" s="84"/>
      <c r="IMO25" s="84"/>
      <c r="IMP25" s="84"/>
      <c r="IMQ25" s="84"/>
      <c r="IMR25" s="84"/>
      <c r="IMS25" s="84"/>
      <c r="IMT25" s="84"/>
      <c r="IMU25" s="84"/>
      <c r="IMV25" s="84"/>
      <c r="IMW25" s="84"/>
      <c r="IMX25" s="84"/>
      <c r="IMY25" s="84"/>
      <c r="IMZ25" s="84"/>
      <c r="INA25" s="84"/>
      <c r="INB25" s="84"/>
      <c r="INC25" s="84"/>
      <c r="IND25" s="84"/>
      <c r="INE25" s="84"/>
      <c r="INF25" s="84"/>
      <c r="ING25" s="84"/>
      <c r="INH25" s="84"/>
      <c r="INI25" s="84"/>
      <c r="INJ25" s="84"/>
      <c r="INK25" s="84"/>
      <c r="INL25" s="84"/>
      <c r="INM25" s="84"/>
      <c r="INN25" s="84"/>
      <c r="INO25" s="84"/>
      <c r="INP25" s="84"/>
      <c r="INQ25" s="84"/>
      <c r="INR25" s="84"/>
      <c r="INS25" s="84"/>
      <c r="INT25" s="84"/>
      <c r="INU25" s="84"/>
      <c r="INV25" s="84"/>
      <c r="INW25" s="84"/>
      <c r="INX25" s="84"/>
      <c r="INY25" s="84"/>
      <c r="INZ25" s="84"/>
      <c r="IOA25" s="84"/>
      <c r="IOB25" s="84"/>
      <c r="IOC25" s="84"/>
      <c r="IOD25" s="84"/>
      <c r="IOE25" s="84"/>
      <c r="IOF25" s="84"/>
      <c r="IOG25" s="84"/>
      <c r="IOH25" s="84"/>
      <c r="IOI25" s="84"/>
      <c r="IOJ25" s="84"/>
      <c r="IOK25" s="84"/>
      <c r="IOL25" s="84"/>
      <c r="IOM25" s="84"/>
      <c r="ION25" s="84"/>
      <c r="IOO25" s="84"/>
      <c r="IOP25" s="84"/>
      <c r="IOQ25" s="84"/>
      <c r="IOR25" s="84"/>
      <c r="IOS25" s="84"/>
      <c r="IOT25" s="84"/>
      <c r="IOU25" s="84"/>
      <c r="IOV25" s="84"/>
      <c r="IOW25" s="84"/>
      <c r="IOX25" s="84"/>
      <c r="IOY25" s="84"/>
      <c r="IOZ25" s="84"/>
      <c r="IPA25" s="84"/>
      <c r="IPB25" s="84"/>
      <c r="IPC25" s="84"/>
      <c r="IPD25" s="84"/>
      <c r="IPE25" s="84"/>
      <c r="IPF25" s="84"/>
      <c r="IPG25" s="84"/>
      <c r="IPH25" s="84"/>
      <c r="IPI25" s="84"/>
      <c r="IPJ25" s="84"/>
      <c r="IPK25" s="84"/>
      <c r="IPL25" s="84"/>
      <c r="IPM25" s="84"/>
      <c r="IPN25" s="84"/>
      <c r="IPO25" s="84"/>
      <c r="IPP25" s="84"/>
      <c r="IPQ25" s="84"/>
      <c r="IPR25" s="84"/>
      <c r="IPS25" s="84"/>
      <c r="IPT25" s="84"/>
      <c r="IPU25" s="84"/>
      <c r="IPV25" s="84"/>
      <c r="IPW25" s="84"/>
      <c r="IPX25" s="84"/>
      <c r="IPY25" s="84"/>
      <c r="IPZ25" s="84"/>
      <c r="IQA25" s="84"/>
      <c r="IQB25" s="84"/>
      <c r="IQC25" s="84"/>
      <c r="IQD25" s="84"/>
      <c r="IQE25" s="84"/>
      <c r="IQF25" s="84"/>
      <c r="IQG25" s="84"/>
      <c r="IQH25" s="84"/>
      <c r="IQI25" s="84"/>
      <c r="IQJ25" s="84"/>
      <c r="IQK25" s="84"/>
      <c r="IQL25" s="84"/>
      <c r="IQM25" s="84"/>
      <c r="IQN25" s="84"/>
      <c r="IQO25" s="84"/>
      <c r="IQP25" s="84"/>
      <c r="IQQ25" s="84"/>
      <c r="IQR25" s="84"/>
      <c r="IQS25" s="84"/>
      <c r="IQT25" s="84"/>
      <c r="IQU25" s="84"/>
      <c r="IQV25" s="84"/>
      <c r="IQW25" s="84"/>
      <c r="IQX25" s="84"/>
      <c r="IQY25" s="84"/>
      <c r="IQZ25" s="84"/>
      <c r="IRA25" s="84"/>
      <c r="IRB25" s="84"/>
      <c r="IRC25" s="84"/>
      <c r="IRD25" s="84"/>
      <c r="IRE25" s="84"/>
      <c r="IRF25" s="84"/>
      <c r="IRG25" s="84"/>
      <c r="IRH25" s="84"/>
      <c r="IRI25" s="84"/>
      <c r="IRJ25" s="84"/>
      <c r="IRK25" s="84"/>
      <c r="IRL25" s="84"/>
      <c r="IRM25" s="84"/>
      <c r="IRN25" s="84"/>
      <c r="IRO25" s="84"/>
      <c r="IRP25" s="84"/>
      <c r="IRQ25" s="84"/>
      <c r="IRR25" s="84"/>
      <c r="IRS25" s="84"/>
      <c r="IRT25" s="84"/>
      <c r="IRU25" s="84"/>
      <c r="IRV25" s="84"/>
      <c r="IRW25" s="84"/>
      <c r="IRX25" s="84"/>
      <c r="IRY25" s="84"/>
      <c r="IRZ25" s="84"/>
      <c r="ISA25" s="84"/>
      <c r="ISB25" s="84"/>
      <c r="ISC25" s="84"/>
      <c r="ISD25" s="84"/>
      <c r="ISE25" s="84"/>
      <c r="ISF25" s="84"/>
      <c r="ISG25" s="84"/>
      <c r="ISH25" s="84"/>
      <c r="ISI25" s="84"/>
      <c r="ISJ25" s="84"/>
      <c r="ISK25" s="84"/>
      <c r="ISL25" s="84"/>
      <c r="ISM25" s="84"/>
      <c r="ISN25" s="84"/>
      <c r="ISO25" s="84"/>
      <c r="ISP25" s="84"/>
      <c r="ISQ25" s="84"/>
      <c r="ISR25" s="84"/>
      <c r="ISS25" s="84"/>
      <c r="IST25" s="84"/>
      <c r="ISU25" s="84"/>
      <c r="ISV25" s="84"/>
      <c r="ISW25" s="84"/>
      <c r="ISX25" s="84"/>
      <c r="ISY25" s="84"/>
      <c r="ISZ25" s="84"/>
      <c r="ITA25" s="84"/>
      <c r="ITB25" s="84"/>
      <c r="ITC25" s="84"/>
      <c r="ITD25" s="84"/>
      <c r="ITE25" s="84"/>
      <c r="ITF25" s="84"/>
      <c r="ITG25" s="84"/>
      <c r="ITH25" s="84"/>
      <c r="ITI25" s="84"/>
      <c r="ITJ25" s="84"/>
      <c r="ITK25" s="84"/>
      <c r="ITL25" s="84"/>
      <c r="ITM25" s="84"/>
      <c r="ITN25" s="84"/>
      <c r="ITO25" s="84"/>
      <c r="ITP25" s="84"/>
      <c r="ITQ25" s="84"/>
      <c r="ITR25" s="84"/>
      <c r="ITS25" s="84"/>
      <c r="ITT25" s="84"/>
      <c r="ITU25" s="84"/>
      <c r="ITV25" s="84"/>
      <c r="ITW25" s="84"/>
      <c r="ITX25" s="84"/>
      <c r="ITY25" s="84"/>
      <c r="ITZ25" s="84"/>
      <c r="IUA25" s="84"/>
      <c r="IUB25" s="84"/>
      <c r="IUC25" s="84"/>
      <c r="IUD25" s="84"/>
      <c r="IUE25" s="84"/>
      <c r="IUF25" s="84"/>
      <c r="IUG25" s="84"/>
      <c r="IUH25" s="84"/>
      <c r="IUI25" s="84"/>
      <c r="IUJ25" s="84"/>
      <c r="IUK25" s="84"/>
      <c r="IUL25" s="84"/>
      <c r="IUM25" s="84"/>
      <c r="IUN25" s="84"/>
      <c r="IUO25" s="84"/>
      <c r="IUP25" s="84"/>
      <c r="IUQ25" s="84"/>
      <c r="IUR25" s="84"/>
      <c r="IUS25" s="84"/>
      <c r="IUT25" s="84"/>
      <c r="IUU25" s="84"/>
      <c r="IUV25" s="84"/>
      <c r="IUW25" s="84"/>
      <c r="IUX25" s="84"/>
      <c r="IUY25" s="84"/>
      <c r="IUZ25" s="84"/>
      <c r="IVA25" s="84"/>
      <c r="IVB25" s="84"/>
      <c r="IVC25" s="84"/>
      <c r="IVD25" s="84"/>
      <c r="IVE25" s="84"/>
      <c r="IVF25" s="84"/>
      <c r="IVG25" s="84"/>
      <c r="IVH25" s="84"/>
      <c r="IVI25" s="84"/>
      <c r="IVJ25" s="84"/>
      <c r="IVK25" s="84"/>
      <c r="IVL25" s="84"/>
      <c r="IVM25" s="84"/>
      <c r="IVN25" s="84"/>
      <c r="IVO25" s="84"/>
      <c r="IVP25" s="84"/>
      <c r="IVQ25" s="84"/>
      <c r="IVR25" s="84"/>
      <c r="IVS25" s="84"/>
      <c r="IVT25" s="84"/>
      <c r="IVU25" s="84"/>
      <c r="IVV25" s="84"/>
      <c r="IVW25" s="84"/>
      <c r="IVX25" s="84"/>
      <c r="IVY25" s="84"/>
      <c r="IVZ25" s="84"/>
      <c r="IWA25" s="84"/>
      <c r="IWB25" s="84"/>
      <c r="IWC25" s="84"/>
      <c r="IWD25" s="84"/>
      <c r="IWE25" s="84"/>
      <c r="IWF25" s="84"/>
      <c r="IWG25" s="84"/>
      <c r="IWH25" s="84"/>
      <c r="IWI25" s="84"/>
      <c r="IWJ25" s="84"/>
      <c r="IWK25" s="84"/>
      <c r="IWL25" s="84"/>
      <c r="IWM25" s="84"/>
      <c r="IWN25" s="84"/>
      <c r="IWO25" s="84"/>
      <c r="IWP25" s="84"/>
      <c r="IWQ25" s="84"/>
      <c r="IWR25" s="84"/>
      <c r="IWS25" s="84"/>
      <c r="IWT25" s="84"/>
      <c r="IWU25" s="84"/>
      <c r="IWV25" s="84"/>
      <c r="IWW25" s="84"/>
      <c r="IWX25" s="84"/>
      <c r="IWY25" s="84"/>
      <c r="IWZ25" s="84"/>
      <c r="IXA25" s="84"/>
      <c r="IXB25" s="84"/>
      <c r="IXC25" s="84"/>
      <c r="IXD25" s="84"/>
      <c r="IXE25" s="84"/>
      <c r="IXF25" s="84"/>
      <c r="IXG25" s="84"/>
      <c r="IXH25" s="84"/>
      <c r="IXI25" s="84"/>
      <c r="IXJ25" s="84"/>
      <c r="IXK25" s="84"/>
      <c r="IXL25" s="84"/>
      <c r="IXM25" s="84"/>
      <c r="IXN25" s="84"/>
      <c r="IXO25" s="84"/>
      <c r="IXP25" s="84"/>
      <c r="IXQ25" s="84"/>
      <c r="IXR25" s="84"/>
      <c r="IXS25" s="84"/>
      <c r="IXT25" s="84"/>
      <c r="IXU25" s="84"/>
      <c r="IXV25" s="84"/>
      <c r="IXW25" s="84"/>
      <c r="IXX25" s="84"/>
      <c r="IXY25" s="84"/>
      <c r="IXZ25" s="84"/>
      <c r="IYA25" s="84"/>
      <c r="IYB25" s="84"/>
      <c r="IYC25" s="84"/>
      <c r="IYD25" s="84"/>
      <c r="IYE25" s="84"/>
      <c r="IYF25" s="84"/>
      <c r="IYG25" s="84"/>
      <c r="IYH25" s="84"/>
      <c r="IYI25" s="84"/>
      <c r="IYJ25" s="84"/>
      <c r="IYK25" s="84"/>
      <c r="IYL25" s="84"/>
      <c r="IYM25" s="84"/>
      <c r="IYN25" s="84"/>
      <c r="IYO25" s="84"/>
      <c r="IYP25" s="84"/>
      <c r="IYQ25" s="84"/>
      <c r="IYR25" s="84"/>
      <c r="IYS25" s="84"/>
      <c r="IYT25" s="84"/>
      <c r="IYU25" s="84"/>
      <c r="IYV25" s="84"/>
      <c r="IYW25" s="84"/>
      <c r="IYX25" s="84"/>
      <c r="IYY25" s="84"/>
      <c r="IYZ25" s="84"/>
      <c r="IZA25" s="84"/>
      <c r="IZB25" s="84"/>
      <c r="IZC25" s="84"/>
      <c r="IZD25" s="84"/>
      <c r="IZE25" s="84"/>
      <c r="IZF25" s="84"/>
      <c r="IZG25" s="84"/>
      <c r="IZH25" s="84"/>
      <c r="IZI25" s="84"/>
      <c r="IZJ25" s="84"/>
      <c r="IZK25" s="84"/>
      <c r="IZL25" s="84"/>
      <c r="IZM25" s="84"/>
      <c r="IZN25" s="84"/>
      <c r="IZO25" s="84"/>
      <c r="IZP25" s="84"/>
      <c r="IZQ25" s="84"/>
      <c r="IZR25" s="84"/>
      <c r="IZS25" s="84"/>
      <c r="IZT25" s="84"/>
      <c r="IZU25" s="84"/>
      <c r="IZV25" s="84"/>
      <c r="IZW25" s="84"/>
      <c r="IZX25" s="84"/>
      <c r="IZY25" s="84"/>
      <c r="IZZ25" s="84"/>
      <c r="JAA25" s="84"/>
      <c r="JAB25" s="84"/>
      <c r="JAC25" s="84"/>
      <c r="JAD25" s="84"/>
      <c r="JAE25" s="84"/>
      <c r="JAF25" s="84"/>
      <c r="JAG25" s="84"/>
      <c r="JAH25" s="84"/>
      <c r="JAI25" s="84"/>
      <c r="JAJ25" s="84"/>
      <c r="JAK25" s="84"/>
      <c r="JAL25" s="84"/>
      <c r="JAM25" s="84"/>
      <c r="JAN25" s="84"/>
      <c r="JAO25" s="84"/>
      <c r="JAP25" s="84"/>
      <c r="JAQ25" s="84"/>
      <c r="JAR25" s="84"/>
      <c r="JAS25" s="84"/>
      <c r="JAT25" s="84"/>
      <c r="JAU25" s="84"/>
      <c r="JAV25" s="84"/>
      <c r="JAW25" s="84"/>
      <c r="JAX25" s="84"/>
      <c r="JAY25" s="84"/>
      <c r="JAZ25" s="84"/>
      <c r="JBA25" s="84"/>
      <c r="JBB25" s="84"/>
      <c r="JBC25" s="84"/>
      <c r="JBD25" s="84"/>
      <c r="JBE25" s="84"/>
      <c r="JBF25" s="84"/>
      <c r="JBG25" s="84"/>
      <c r="JBH25" s="84"/>
      <c r="JBI25" s="84"/>
      <c r="JBJ25" s="84"/>
      <c r="JBK25" s="84"/>
      <c r="JBL25" s="84"/>
      <c r="JBM25" s="84"/>
      <c r="JBN25" s="84"/>
      <c r="JBO25" s="84"/>
      <c r="JBP25" s="84"/>
      <c r="JBQ25" s="84"/>
      <c r="JBR25" s="84"/>
      <c r="JBS25" s="84"/>
      <c r="JBT25" s="84"/>
      <c r="JBU25" s="84"/>
      <c r="JBV25" s="84"/>
      <c r="JBW25" s="84"/>
      <c r="JBX25" s="84"/>
      <c r="JBY25" s="84"/>
      <c r="JBZ25" s="84"/>
      <c r="JCA25" s="84"/>
      <c r="JCB25" s="84"/>
      <c r="JCC25" s="84"/>
      <c r="JCD25" s="84"/>
      <c r="JCE25" s="84"/>
      <c r="JCF25" s="84"/>
      <c r="JCG25" s="84"/>
      <c r="JCH25" s="84"/>
      <c r="JCI25" s="84"/>
      <c r="JCJ25" s="84"/>
      <c r="JCK25" s="84"/>
      <c r="JCL25" s="84"/>
      <c r="JCM25" s="84"/>
      <c r="JCN25" s="84"/>
      <c r="JCO25" s="84"/>
      <c r="JCP25" s="84"/>
      <c r="JCQ25" s="84"/>
      <c r="JCR25" s="84"/>
      <c r="JCS25" s="84"/>
      <c r="JCT25" s="84"/>
      <c r="JCU25" s="84"/>
      <c r="JCV25" s="84"/>
      <c r="JCW25" s="84"/>
      <c r="JCX25" s="84"/>
      <c r="JCY25" s="84"/>
      <c r="JCZ25" s="84"/>
      <c r="JDA25" s="84"/>
      <c r="JDB25" s="84"/>
      <c r="JDC25" s="84"/>
      <c r="JDD25" s="84"/>
      <c r="JDE25" s="84"/>
      <c r="JDF25" s="84"/>
      <c r="JDG25" s="84"/>
      <c r="JDH25" s="84"/>
      <c r="JDI25" s="84"/>
      <c r="JDJ25" s="84"/>
      <c r="JDK25" s="84"/>
      <c r="JDL25" s="84"/>
      <c r="JDM25" s="84"/>
      <c r="JDN25" s="84"/>
      <c r="JDO25" s="84"/>
      <c r="JDP25" s="84"/>
      <c r="JDQ25" s="84"/>
      <c r="JDR25" s="84"/>
      <c r="JDS25" s="84"/>
      <c r="JDT25" s="84"/>
      <c r="JDU25" s="84"/>
      <c r="JDV25" s="84"/>
      <c r="JDW25" s="84"/>
      <c r="JDX25" s="84"/>
      <c r="JDY25" s="84"/>
      <c r="JDZ25" s="84"/>
      <c r="JEA25" s="84"/>
      <c r="JEB25" s="84"/>
      <c r="JEC25" s="84"/>
      <c r="JED25" s="84"/>
      <c r="JEE25" s="84"/>
      <c r="JEF25" s="84"/>
      <c r="JEG25" s="84"/>
      <c r="JEH25" s="84"/>
      <c r="JEI25" s="84"/>
      <c r="JEJ25" s="84"/>
      <c r="JEK25" s="84"/>
      <c r="JEL25" s="84"/>
      <c r="JEM25" s="84"/>
      <c r="JEN25" s="84"/>
      <c r="JEO25" s="84"/>
      <c r="JEP25" s="84"/>
      <c r="JEQ25" s="84"/>
      <c r="JER25" s="84"/>
      <c r="JES25" s="84"/>
      <c r="JET25" s="84"/>
      <c r="JEU25" s="84"/>
      <c r="JEV25" s="84"/>
      <c r="JEW25" s="84"/>
      <c r="JEX25" s="84"/>
      <c r="JEY25" s="84"/>
      <c r="JEZ25" s="84"/>
      <c r="JFA25" s="84"/>
      <c r="JFB25" s="84"/>
      <c r="JFC25" s="84"/>
      <c r="JFD25" s="84"/>
      <c r="JFE25" s="84"/>
      <c r="JFF25" s="84"/>
      <c r="JFG25" s="84"/>
      <c r="JFH25" s="84"/>
      <c r="JFI25" s="84"/>
      <c r="JFJ25" s="84"/>
      <c r="JFK25" s="84"/>
      <c r="JFL25" s="84"/>
      <c r="JFM25" s="84"/>
      <c r="JFN25" s="84"/>
      <c r="JFO25" s="84"/>
      <c r="JFP25" s="84"/>
      <c r="JFQ25" s="84"/>
      <c r="JFR25" s="84"/>
      <c r="JFS25" s="84"/>
      <c r="JFT25" s="84"/>
      <c r="JFU25" s="84"/>
      <c r="JFV25" s="84"/>
      <c r="JFW25" s="84"/>
      <c r="JFX25" s="84"/>
      <c r="JFY25" s="84"/>
      <c r="JFZ25" s="84"/>
      <c r="JGA25" s="84"/>
      <c r="JGB25" s="84"/>
      <c r="JGC25" s="84"/>
      <c r="JGD25" s="84"/>
      <c r="JGE25" s="84"/>
      <c r="JGF25" s="84"/>
      <c r="JGG25" s="84"/>
      <c r="JGH25" s="84"/>
      <c r="JGI25" s="84"/>
      <c r="JGJ25" s="84"/>
      <c r="JGK25" s="84"/>
      <c r="JGL25" s="84"/>
      <c r="JGM25" s="84"/>
      <c r="JGN25" s="84"/>
      <c r="JGO25" s="84"/>
      <c r="JGP25" s="84"/>
      <c r="JGQ25" s="84"/>
      <c r="JGR25" s="84"/>
      <c r="JGS25" s="84"/>
      <c r="JGT25" s="84"/>
      <c r="JGU25" s="84"/>
      <c r="JGV25" s="84"/>
      <c r="JGW25" s="84"/>
      <c r="JGX25" s="84"/>
      <c r="JGY25" s="84"/>
      <c r="JGZ25" s="84"/>
      <c r="JHA25" s="84"/>
      <c r="JHB25" s="84"/>
      <c r="JHC25" s="84"/>
      <c r="JHD25" s="84"/>
      <c r="JHE25" s="84"/>
      <c r="JHF25" s="84"/>
      <c r="JHG25" s="84"/>
      <c r="JHH25" s="84"/>
      <c r="JHI25" s="84"/>
      <c r="JHJ25" s="84"/>
      <c r="JHK25" s="84"/>
      <c r="JHL25" s="84"/>
      <c r="JHM25" s="84"/>
      <c r="JHN25" s="84"/>
      <c r="JHO25" s="84"/>
      <c r="JHP25" s="84"/>
      <c r="JHQ25" s="84"/>
      <c r="JHR25" s="84"/>
      <c r="JHS25" s="84"/>
      <c r="JHT25" s="84"/>
      <c r="JHU25" s="84"/>
      <c r="JHV25" s="84"/>
      <c r="JHW25" s="84"/>
      <c r="JHX25" s="84"/>
      <c r="JHY25" s="84"/>
      <c r="JHZ25" s="84"/>
      <c r="JIA25" s="84"/>
      <c r="JIB25" s="84"/>
      <c r="JIC25" s="84"/>
      <c r="JID25" s="84"/>
      <c r="JIE25" s="84"/>
      <c r="JIF25" s="84"/>
      <c r="JIG25" s="84"/>
      <c r="JIH25" s="84"/>
      <c r="JII25" s="84"/>
      <c r="JIJ25" s="84"/>
      <c r="JIK25" s="84"/>
      <c r="JIL25" s="84"/>
      <c r="JIM25" s="84"/>
      <c r="JIN25" s="84"/>
      <c r="JIO25" s="84"/>
      <c r="JIP25" s="84"/>
      <c r="JIQ25" s="84"/>
      <c r="JIR25" s="84"/>
      <c r="JIS25" s="84"/>
      <c r="JIT25" s="84"/>
      <c r="JIU25" s="84"/>
      <c r="JIV25" s="84"/>
      <c r="JIW25" s="84"/>
      <c r="JIX25" s="84"/>
      <c r="JIY25" s="84"/>
      <c r="JIZ25" s="84"/>
      <c r="JJA25" s="84"/>
      <c r="JJB25" s="84"/>
      <c r="JJC25" s="84"/>
      <c r="JJD25" s="84"/>
      <c r="JJE25" s="84"/>
      <c r="JJF25" s="84"/>
      <c r="JJG25" s="84"/>
      <c r="JJH25" s="84"/>
      <c r="JJI25" s="84"/>
      <c r="JJJ25" s="84"/>
      <c r="JJK25" s="84"/>
      <c r="JJL25" s="84"/>
      <c r="JJM25" s="84"/>
      <c r="JJN25" s="84"/>
      <c r="JJO25" s="84"/>
      <c r="JJP25" s="84"/>
      <c r="JJQ25" s="84"/>
      <c r="JJR25" s="84"/>
      <c r="JJS25" s="84"/>
      <c r="JJT25" s="84"/>
      <c r="JJU25" s="84"/>
      <c r="JJV25" s="84"/>
      <c r="JJW25" s="84"/>
      <c r="JJX25" s="84"/>
      <c r="JJY25" s="84"/>
      <c r="JJZ25" s="84"/>
      <c r="JKA25" s="84"/>
      <c r="JKB25" s="84"/>
      <c r="JKC25" s="84"/>
      <c r="JKD25" s="84"/>
      <c r="JKE25" s="84"/>
      <c r="JKF25" s="84"/>
      <c r="JKG25" s="84"/>
      <c r="JKH25" s="84"/>
      <c r="JKI25" s="84"/>
      <c r="JKJ25" s="84"/>
      <c r="JKK25" s="84"/>
      <c r="JKL25" s="84"/>
      <c r="JKM25" s="84"/>
      <c r="JKN25" s="84"/>
      <c r="JKO25" s="84"/>
      <c r="JKP25" s="84"/>
      <c r="JKQ25" s="84"/>
      <c r="JKR25" s="84"/>
      <c r="JKS25" s="84"/>
      <c r="JKT25" s="84"/>
      <c r="JKU25" s="84"/>
      <c r="JKV25" s="84"/>
      <c r="JKW25" s="84"/>
      <c r="JKX25" s="84"/>
      <c r="JKY25" s="84"/>
      <c r="JKZ25" s="84"/>
      <c r="JLA25" s="84"/>
      <c r="JLB25" s="84"/>
      <c r="JLC25" s="84"/>
      <c r="JLD25" s="84"/>
      <c r="JLE25" s="84"/>
      <c r="JLF25" s="84"/>
      <c r="JLG25" s="84"/>
      <c r="JLH25" s="84"/>
      <c r="JLI25" s="84"/>
      <c r="JLJ25" s="84"/>
      <c r="JLK25" s="84"/>
      <c r="JLL25" s="84"/>
      <c r="JLM25" s="84"/>
      <c r="JLN25" s="84"/>
      <c r="JLO25" s="84"/>
      <c r="JLP25" s="84"/>
      <c r="JLQ25" s="84"/>
      <c r="JLR25" s="84"/>
      <c r="JLS25" s="84"/>
      <c r="JLT25" s="84"/>
      <c r="JLU25" s="84"/>
      <c r="JLV25" s="84"/>
      <c r="JLW25" s="84"/>
      <c r="JLX25" s="84"/>
      <c r="JLY25" s="84"/>
      <c r="JLZ25" s="84"/>
      <c r="JMA25" s="84"/>
      <c r="JMB25" s="84"/>
      <c r="JMC25" s="84"/>
      <c r="JMD25" s="84"/>
      <c r="JME25" s="84"/>
      <c r="JMF25" s="84"/>
      <c r="JMG25" s="84"/>
      <c r="JMH25" s="84"/>
      <c r="JMI25" s="84"/>
      <c r="JMJ25" s="84"/>
      <c r="JMK25" s="84"/>
      <c r="JML25" s="84"/>
      <c r="JMM25" s="84"/>
      <c r="JMN25" s="84"/>
      <c r="JMO25" s="84"/>
      <c r="JMP25" s="84"/>
      <c r="JMQ25" s="84"/>
      <c r="JMR25" s="84"/>
      <c r="JMS25" s="84"/>
      <c r="JMT25" s="84"/>
      <c r="JMU25" s="84"/>
      <c r="JMV25" s="84"/>
      <c r="JMW25" s="84"/>
      <c r="JMX25" s="84"/>
      <c r="JMY25" s="84"/>
      <c r="JMZ25" s="84"/>
      <c r="JNA25" s="84"/>
      <c r="JNB25" s="84"/>
      <c r="JNC25" s="84"/>
      <c r="JND25" s="84"/>
      <c r="JNE25" s="84"/>
      <c r="JNF25" s="84"/>
      <c r="JNG25" s="84"/>
      <c r="JNH25" s="84"/>
      <c r="JNI25" s="84"/>
      <c r="JNJ25" s="84"/>
      <c r="JNK25" s="84"/>
      <c r="JNL25" s="84"/>
      <c r="JNM25" s="84"/>
      <c r="JNN25" s="84"/>
      <c r="JNO25" s="84"/>
      <c r="JNP25" s="84"/>
      <c r="JNQ25" s="84"/>
      <c r="JNR25" s="84"/>
      <c r="JNS25" s="84"/>
      <c r="JNT25" s="84"/>
      <c r="JNU25" s="84"/>
      <c r="JNV25" s="84"/>
      <c r="JNW25" s="84"/>
      <c r="JNX25" s="84"/>
      <c r="JNY25" s="84"/>
      <c r="JNZ25" s="84"/>
      <c r="JOA25" s="84"/>
      <c r="JOB25" s="84"/>
      <c r="JOC25" s="84"/>
      <c r="JOD25" s="84"/>
      <c r="JOE25" s="84"/>
      <c r="JOF25" s="84"/>
      <c r="JOG25" s="84"/>
      <c r="JOH25" s="84"/>
      <c r="JOI25" s="84"/>
      <c r="JOJ25" s="84"/>
      <c r="JOK25" s="84"/>
      <c r="JOL25" s="84"/>
      <c r="JOM25" s="84"/>
      <c r="JON25" s="84"/>
      <c r="JOO25" s="84"/>
      <c r="JOP25" s="84"/>
      <c r="JOQ25" s="84"/>
      <c r="JOR25" s="84"/>
      <c r="JOS25" s="84"/>
      <c r="JOT25" s="84"/>
      <c r="JOU25" s="84"/>
      <c r="JOV25" s="84"/>
      <c r="JOW25" s="84"/>
      <c r="JOX25" s="84"/>
      <c r="JOY25" s="84"/>
      <c r="JOZ25" s="84"/>
      <c r="JPA25" s="84"/>
      <c r="JPB25" s="84"/>
      <c r="JPC25" s="84"/>
      <c r="JPD25" s="84"/>
      <c r="JPE25" s="84"/>
      <c r="JPF25" s="84"/>
      <c r="JPG25" s="84"/>
      <c r="JPH25" s="84"/>
      <c r="JPI25" s="84"/>
      <c r="JPJ25" s="84"/>
      <c r="JPK25" s="84"/>
      <c r="JPL25" s="84"/>
      <c r="JPM25" s="84"/>
      <c r="JPN25" s="84"/>
      <c r="JPO25" s="84"/>
      <c r="JPP25" s="84"/>
      <c r="JPQ25" s="84"/>
      <c r="JPR25" s="84"/>
      <c r="JPS25" s="84"/>
      <c r="JPT25" s="84"/>
      <c r="JPU25" s="84"/>
      <c r="JPV25" s="84"/>
      <c r="JPW25" s="84"/>
      <c r="JPX25" s="84"/>
      <c r="JPY25" s="84"/>
      <c r="JPZ25" s="84"/>
      <c r="JQA25" s="84"/>
      <c r="JQB25" s="84"/>
      <c r="JQC25" s="84"/>
      <c r="JQD25" s="84"/>
      <c r="JQE25" s="84"/>
      <c r="JQF25" s="84"/>
      <c r="JQG25" s="84"/>
      <c r="JQH25" s="84"/>
      <c r="JQI25" s="84"/>
      <c r="JQJ25" s="84"/>
      <c r="JQK25" s="84"/>
      <c r="JQL25" s="84"/>
      <c r="JQM25" s="84"/>
      <c r="JQN25" s="84"/>
      <c r="JQO25" s="84"/>
      <c r="JQP25" s="84"/>
      <c r="JQQ25" s="84"/>
      <c r="JQR25" s="84"/>
      <c r="JQS25" s="84"/>
      <c r="JQT25" s="84"/>
      <c r="JQU25" s="84"/>
      <c r="JQV25" s="84"/>
      <c r="JQW25" s="84"/>
      <c r="JQX25" s="84"/>
      <c r="JQY25" s="84"/>
      <c r="JQZ25" s="84"/>
      <c r="JRA25" s="84"/>
      <c r="JRB25" s="84"/>
      <c r="JRC25" s="84"/>
      <c r="JRD25" s="84"/>
      <c r="JRE25" s="84"/>
      <c r="JRF25" s="84"/>
      <c r="JRG25" s="84"/>
      <c r="JRH25" s="84"/>
      <c r="JRI25" s="84"/>
      <c r="JRJ25" s="84"/>
      <c r="JRK25" s="84"/>
      <c r="JRL25" s="84"/>
      <c r="JRM25" s="84"/>
      <c r="JRN25" s="84"/>
      <c r="JRO25" s="84"/>
      <c r="JRP25" s="84"/>
      <c r="JRQ25" s="84"/>
      <c r="JRR25" s="84"/>
      <c r="JRS25" s="84"/>
      <c r="JRT25" s="84"/>
      <c r="JRU25" s="84"/>
      <c r="JRV25" s="84"/>
      <c r="JRW25" s="84"/>
      <c r="JRX25" s="84"/>
      <c r="JRY25" s="84"/>
      <c r="JRZ25" s="84"/>
      <c r="JSA25" s="84"/>
      <c r="JSB25" s="84"/>
      <c r="JSC25" s="84"/>
      <c r="JSD25" s="84"/>
      <c r="JSE25" s="84"/>
      <c r="JSF25" s="84"/>
      <c r="JSG25" s="84"/>
      <c r="JSH25" s="84"/>
      <c r="JSI25" s="84"/>
      <c r="JSJ25" s="84"/>
      <c r="JSK25" s="84"/>
      <c r="JSL25" s="84"/>
      <c r="JSM25" s="84"/>
      <c r="JSN25" s="84"/>
      <c r="JSO25" s="84"/>
      <c r="JSP25" s="84"/>
      <c r="JSQ25" s="84"/>
      <c r="JSR25" s="84"/>
      <c r="JSS25" s="84"/>
      <c r="JST25" s="84"/>
      <c r="JSU25" s="84"/>
      <c r="JSV25" s="84"/>
      <c r="JSW25" s="84"/>
      <c r="JSX25" s="84"/>
      <c r="JSY25" s="84"/>
      <c r="JSZ25" s="84"/>
      <c r="JTA25" s="84"/>
      <c r="JTB25" s="84"/>
      <c r="JTC25" s="84"/>
      <c r="JTD25" s="84"/>
      <c r="JTE25" s="84"/>
      <c r="JTF25" s="84"/>
      <c r="JTG25" s="84"/>
      <c r="JTH25" s="84"/>
      <c r="JTI25" s="84"/>
      <c r="JTJ25" s="84"/>
      <c r="JTK25" s="84"/>
      <c r="JTL25" s="84"/>
      <c r="JTM25" s="84"/>
      <c r="JTN25" s="84"/>
      <c r="JTO25" s="84"/>
      <c r="JTP25" s="84"/>
      <c r="JTQ25" s="84"/>
      <c r="JTR25" s="84"/>
      <c r="JTS25" s="84"/>
      <c r="JTT25" s="84"/>
      <c r="JTU25" s="84"/>
      <c r="JTV25" s="84"/>
      <c r="JTW25" s="84"/>
      <c r="JTX25" s="84"/>
      <c r="JTY25" s="84"/>
      <c r="JTZ25" s="84"/>
      <c r="JUA25" s="84"/>
      <c r="JUB25" s="84"/>
      <c r="JUC25" s="84"/>
      <c r="JUD25" s="84"/>
      <c r="JUE25" s="84"/>
      <c r="JUF25" s="84"/>
      <c r="JUG25" s="84"/>
      <c r="JUH25" s="84"/>
      <c r="JUI25" s="84"/>
      <c r="JUJ25" s="84"/>
      <c r="JUK25" s="84"/>
      <c r="JUL25" s="84"/>
      <c r="JUM25" s="84"/>
      <c r="JUN25" s="84"/>
      <c r="JUO25" s="84"/>
      <c r="JUP25" s="84"/>
      <c r="JUQ25" s="84"/>
      <c r="JUR25" s="84"/>
      <c r="JUS25" s="84"/>
      <c r="JUT25" s="84"/>
      <c r="JUU25" s="84"/>
      <c r="JUV25" s="84"/>
      <c r="JUW25" s="84"/>
      <c r="JUX25" s="84"/>
      <c r="JUY25" s="84"/>
      <c r="JUZ25" s="84"/>
      <c r="JVA25" s="84"/>
      <c r="JVB25" s="84"/>
      <c r="JVC25" s="84"/>
      <c r="JVD25" s="84"/>
      <c r="JVE25" s="84"/>
      <c r="JVF25" s="84"/>
      <c r="JVG25" s="84"/>
      <c r="JVH25" s="84"/>
      <c r="JVI25" s="84"/>
      <c r="JVJ25" s="84"/>
      <c r="JVK25" s="84"/>
      <c r="JVL25" s="84"/>
      <c r="JVM25" s="84"/>
      <c r="JVN25" s="84"/>
      <c r="JVO25" s="84"/>
      <c r="JVP25" s="84"/>
      <c r="JVQ25" s="84"/>
      <c r="JVR25" s="84"/>
      <c r="JVS25" s="84"/>
      <c r="JVT25" s="84"/>
      <c r="JVU25" s="84"/>
      <c r="JVV25" s="84"/>
      <c r="JVW25" s="84"/>
      <c r="JVX25" s="84"/>
      <c r="JVY25" s="84"/>
      <c r="JVZ25" s="84"/>
      <c r="JWA25" s="84"/>
      <c r="JWB25" s="84"/>
      <c r="JWC25" s="84"/>
      <c r="JWD25" s="84"/>
      <c r="JWE25" s="84"/>
      <c r="JWF25" s="84"/>
      <c r="JWG25" s="84"/>
      <c r="JWH25" s="84"/>
      <c r="JWI25" s="84"/>
      <c r="JWJ25" s="84"/>
      <c r="JWK25" s="84"/>
      <c r="JWL25" s="84"/>
      <c r="JWM25" s="84"/>
      <c r="JWN25" s="84"/>
      <c r="JWO25" s="84"/>
      <c r="JWP25" s="84"/>
      <c r="JWQ25" s="84"/>
      <c r="JWR25" s="84"/>
      <c r="JWS25" s="84"/>
      <c r="JWT25" s="84"/>
      <c r="JWU25" s="84"/>
      <c r="JWV25" s="84"/>
      <c r="JWW25" s="84"/>
      <c r="JWX25" s="84"/>
      <c r="JWY25" s="84"/>
      <c r="JWZ25" s="84"/>
      <c r="JXA25" s="84"/>
      <c r="JXB25" s="84"/>
      <c r="JXC25" s="84"/>
      <c r="JXD25" s="84"/>
      <c r="JXE25" s="84"/>
      <c r="JXF25" s="84"/>
      <c r="JXG25" s="84"/>
      <c r="JXH25" s="84"/>
      <c r="JXI25" s="84"/>
      <c r="JXJ25" s="84"/>
      <c r="JXK25" s="84"/>
      <c r="JXL25" s="84"/>
      <c r="JXM25" s="84"/>
      <c r="JXN25" s="84"/>
      <c r="JXO25" s="84"/>
      <c r="JXP25" s="84"/>
      <c r="JXQ25" s="84"/>
      <c r="JXR25" s="84"/>
      <c r="JXS25" s="84"/>
      <c r="JXT25" s="84"/>
      <c r="JXU25" s="84"/>
      <c r="JXV25" s="84"/>
      <c r="JXW25" s="84"/>
      <c r="JXX25" s="84"/>
      <c r="JXY25" s="84"/>
      <c r="JXZ25" s="84"/>
      <c r="JYA25" s="84"/>
      <c r="JYB25" s="84"/>
      <c r="JYC25" s="84"/>
      <c r="JYD25" s="84"/>
      <c r="JYE25" s="84"/>
      <c r="JYF25" s="84"/>
      <c r="JYG25" s="84"/>
      <c r="JYH25" s="84"/>
      <c r="JYI25" s="84"/>
      <c r="JYJ25" s="84"/>
      <c r="JYK25" s="84"/>
      <c r="JYL25" s="84"/>
      <c r="JYM25" s="84"/>
      <c r="JYN25" s="84"/>
      <c r="JYO25" s="84"/>
      <c r="JYP25" s="84"/>
      <c r="JYQ25" s="84"/>
      <c r="JYR25" s="84"/>
      <c r="JYS25" s="84"/>
      <c r="JYT25" s="84"/>
      <c r="JYU25" s="84"/>
      <c r="JYV25" s="84"/>
      <c r="JYW25" s="84"/>
      <c r="JYX25" s="84"/>
      <c r="JYY25" s="84"/>
      <c r="JYZ25" s="84"/>
      <c r="JZA25" s="84"/>
      <c r="JZB25" s="84"/>
      <c r="JZC25" s="84"/>
      <c r="JZD25" s="84"/>
      <c r="JZE25" s="84"/>
      <c r="JZF25" s="84"/>
      <c r="JZG25" s="84"/>
      <c r="JZH25" s="84"/>
      <c r="JZI25" s="84"/>
      <c r="JZJ25" s="84"/>
      <c r="JZK25" s="84"/>
      <c r="JZL25" s="84"/>
      <c r="JZM25" s="84"/>
      <c r="JZN25" s="84"/>
      <c r="JZO25" s="84"/>
      <c r="JZP25" s="84"/>
      <c r="JZQ25" s="84"/>
      <c r="JZR25" s="84"/>
      <c r="JZS25" s="84"/>
      <c r="JZT25" s="84"/>
      <c r="JZU25" s="84"/>
      <c r="JZV25" s="84"/>
      <c r="JZW25" s="84"/>
      <c r="JZX25" s="84"/>
      <c r="JZY25" s="84"/>
      <c r="JZZ25" s="84"/>
      <c r="KAA25" s="84"/>
      <c r="KAB25" s="84"/>
      <c r="KAC25" s="84"/>
      <c r="KAD25" s="84"/>
      <c r="KAE25" s="84"/>
      <c r="KAF25" s="84"/>
      <c r="KAG25" s="84"/>
      <c r="KAH25" s="84"/>
      <c r="KAI25" s="84"/>
      <c r="KAJ25" s="84"/>
      <c r="KAK25" s="84"/>
      <c r="KAL25" s="84"/>
      <c r="KAM25" s="84"/>
      <c r="KAN25" s="84"/>
      <c r="KAO25" s="84"/>
      <c r="KAP25" s="84"/>
      <c r="KAQ25" s="84"/>
      <c r="KAR25" s="84"/>
      <c r="KAS25" s="84"/>
      <c r="KAT25" s="84"/>
      <c r="KAU25" s="84"/>
      <c r="KAV25" s="84"/>
      <c r="KAW25" s="84"/>
      <c r="KAX25" s="84"/>
      <c r="KAY25" s="84"/>
      <c r="KAZ25" s="84"/>
      <c r="KBA25" s="84"/>
      <c r="KBB25" s="84"/>
      <c r="KBC25" s="84"/>
      <c r="KBD25" s="84"/>
      <c r="KBE25" s="84"/>
      <c r="KBF25" s="84"/>
      <c r="KBG25" s="84"/>
      <c r="KBH25" s="84"/>
      <c r="KBI25" s="84"/>
      <c r="KBJ25" s="84"/>
      <c r="KBK25" s="84"/>
      <c r="KBL25" s="84"/>
      <c r="KBM25" s="84"/>
      <c r="KBN25" s="84"/>
      <c r="KBO25" s="84"/>
      <c r="KBP25" s="84"/>
      <c r="KBQ25" s="84"/>
      <c r="KBR25" s="84"/>
      <c r="KBS25" s="84"/>
      <c r="KBT25" s="84"/>
      <c r="KBU25" s="84"/>
      <c r="KBV25" s="84"/>
      <c r="KBW25" s="84"/>
      <c r="KBX25" s="84"/>
      <c r="KBY25" s="84"/>
      <c r="KBZ25" s="84"/>
      <c r="KCA25" s="84"/>
      <c r="KCB25" s="84"/>
      <c r="KCC25" s="84"/>
      <c r="KCD25" s="84"/>
      <c r="KCE25" s="84"/>
      <c r="KCF25" s="84"/>
      <c r="KCG25" s="84"/>
      <c r="KCH25" s="84"/>
      <c r="KCI25" s="84"/>
      <c r="KCJ25" s="84"/>
      <c r="KCK25" s="84"/>
      <c r="KCL25" s="84"/>
      <c r="KCM25" s="84"/>
      <c r="KCN25" s="84"/>
      <c r="KCO25" s="84"/>
      <c r="KCP25" s="84"/>
      <c r="KCQ25" s="84"/>
      <c r="KCR25" s="84"/>
      <c r="KCS25" s="84"/>
      <c r="KCT25" s="84"/>
      <c r="KCU25" s="84"/>
      <c r="KCV25" s="84"/>
      <c r="KCW25" s="84"/>
      <c r="KCX25" s="84"/>
      <c r="KCY25" s="84"/>
      <c r="KCZ25" s="84"/>
      <c r="KDA25" s="84"/>
      <c r="KDB25" s="84"/>
      <c r="KDC25" s="84"/>
      <c r="KDD25" s="84"/>
      <c r="KDE25" s="84"/>
      <c r="KDF25" s="84"/>
      <c r="KDG25" s="84"/>
      <c r="KDH25" s="84"/>
      <c r="KDI25" s="84"/>
      <c r="KDJ25" s="84"/>
      <c r="KDK25" s="84"/>
      <c r="KDL25" s="84"/>
      <c r="KDM25" s="84"/>
      <c r="KDN25" s="84"/>
      <c r="KDO25" s="84"/>
      <c r="KDP25" s="84"/>
      <c r="KDQ25" s="84"/>
      <c r="KDR25" s="84"/>
      <c r="KDS25" s="84"/>
      <c r="KDT25" s="84"/>
      <c r="KDU25" s="84"/>
      <c r="KDV25" s="84"/>
      <c r="KDW25" s="84"/>
      <c r="KDX25" s="84"/>
      <c r="KDY25" s="84"/>
      <c r="KDZ25" s="84"/>
      <c r="KEA25" s="84"/>
      <c r="KEB25" s="84"/>
      <c r="KEC25" s="84"/>
      <c r="KED25" s="84"/>
      <c r="KEE25" s="84"/>
      <c r="KEF25" s="84"/>
      <c r="KEG25" s="84"/>
      <c r="KEH25" s="84"/>
      <c r="KEI25" s="84"/>
      <c r="KEJ25" s="84"/>
      <c r="KEK25" s="84"/>
      <c r="KEL25" s="84"/>
      <c r="KEM25" s="84"/>
      <c r="KEN25" s="84"/>
      <c r="KEO25" s="84"/>
      <c r="KEP25" s="84"/>
      <c r="KEQ25" s="84"/>
      <c r="KER25" s="84"/>
      <c r="KES25" s="84"/>
      <c r="KET25" s="84"/>
      <c r="KEU25" s="84"/>
      <c r="KEV25" s="84"/>
      <c r="KEW25" s="84"/>
      <c r="KEX25" s="84"/>
      <c r="KEY25" s="84"/>
      <c r="KEZ25" s="84"/>
      <c r="KFA25" s="84"/>
      <c r="KFB25" s="84"/>
      <c r="KFC25" s="84"/>
      <c r="KFD25" s="84"/>
      <c r="KFE25" s="84"/>
      <c r="KFF25" s="84"/>
      <c r="KFG25" s="84"/>
      <c r="KFH25" s="84"/>
      <c r="KFI25" s="84"/>
      <c r="KFJ25" s="84"/>
      <c r="KFK25" s="84"/>
      <c r="KFL25" s="84"/>
      <c r="KFM25" s="84"/>
      <c r="KFN25" s="84"/>
      <c r="KFO25" s="84"/>
      <c r="KFP25" s="84"/>
      <c r="KFQ25" s="84"/>
      <c r="KFR25" s="84"/>
      <c r="KFS25" s="84"/>
      <c r="KFT25" s="84"/>
      <c r="KFU25" s="84"/>
      <c r="KFV25" s="84"/>
      <c r="KFW25" s="84"/>
      <c r="KFX25" s="84"/>
      <c r="KFY25" s="84"/>
      <c r="KFZ25" s="84"/>
      <c r="KGA25" s="84"/>
      <c r="KGB25" s="84"/>
      <c r="KGC25" s="84"/>
      <c r="KGD25" s="84"/>
      <c r="KGE25" s="84"/>
      <c r="KGF25" s="84"/>
      <c r="KGG25" s="84"/>
      <c r="KGH25" s="84"/>
      <c r="KGI25" s="84"/>
      <c r="KGJ25" s="84"/>
      <c r="KGK25" s="84"/>
      <c r="KGL25" s="84"/>
      <c r="KGM25" s="84"/>
      <c r="KGN25" s="84"/>
      <c r="KGO25" s="84"/>
      <c r="KGP25" s="84"/>
      <c r="KGQ25" s="84"/>
      <c r="KGR25" s="84"/>
      <c r="KGS25" s="84"/>
      <c r="KGT25" s="84"/>
      <c r="KGU25" s="84"/>
      <c r="KGV25" s="84"/>
      <c r="KGW25" s="84"/>
      <c r="KGX25" s="84"/>
      <c r="KGY25" s="84"/>
      <c r="KGZ25" s="84"/>
      <c r="KHA25" s="84"/>
      <c r="KHB25" s="84"/>
      <c r="KHC25" s="84"/>
      <c r="KHD25" s="84"/>
      <c r="KHE25" s="84"/>
      <c r="KHF25" s="84"/>
      <c r="KHG25" s="84"/>
      <c r="KHH25" s="84"/>
      <c r="KHI25" s="84"/>
      <c r="KHJ25" s="84"/>
      <c r="KHK25" s="84"/>
      <c r="KHL25" s="84"/>
      <c r="KHM25" s="84"/>
      <c r="KHN25" s="84"/>
      <c r="KHO25" s="84"/>
      <c r="KHP25" s="84"/>
      <c r="KHQ25" s="84"/>
      <c r="KHR25" s="84"/>
      <c r="KHS25" s="84"/>
      <c r="KHT25" s="84"/>
      <c r="KHU25" s="84"/>
      <c r="KHV25" s="84"/>
      <c r="KHW25" s="84"/>
      <c r="KHX25" s="84"/>
      <c r="KHY25" s="84"/>
      <c r="KHZ25" s="84"/>
      <c r="KIA25" s="84"/>
      <c r="KIB25" s="84"/>
      <c r="KIC25" s="84"/>
      <c r="KID25" s="84"/>
      <c r="KIE25" s="84"/>
      <c r="KIF25" s="84"/>
      <c r="KIG25" s="84"/>
      <c r="KIH25" s="84"/>
      <c r="KII25" s="84"/>
      <c r="KIJ25" s="84"/>
      <c r="KIK25" s="84"/>
      <c r="KIL25" s="84"/>
      <c r="KIM25" s="84"/>
      <c r="KIN25" s="84"/>
      <c r="KIO25" s="84"/>
      <c r="KIP25" s="84"/>
      <c r="KIQ25" s="84"/>
      <c r="KIR25" s="84"/>
      <c r="KIS25" s="84"/>
      <c r="KIT25" s="84"/>
      <c r="KIU25" s="84"/>
      <c r="KIV25" s="84"/>
      <c r="KIW25" s="84"/>
      <c r="KIX25" s="84"/>
      <c r="KIY25" s="84"/>
      <c r="KIZ25" s="84"/>
      <c r="KJA25" s="84"/>
      <c r="KJB25" s="84"/>
      <c r="KJC25" s="84"/>
      <c r="KJD25" s="84"/>
      <c r="KJE25" s="84"/>
      <c r="KJF25" s="84"/>
      <c r="KJG25" s="84"/>
      <c r="KJH25" s="84"/>
      <c r="KJI25" s="84"/>
      <c r="KJJ25" s="84"/>
      <c r="KJK25" s="84"/>
      <c r="KJL25" s="84"/>
      <c r="KJM25" s="84"/>
      <c r="KJN25" s="84"/>
      <c r="KJO25" s="84"/>
      <c r="KJP25" s="84"/>
      <c r="KJQ25" s="84"/>
      <c r="KJR25" s="84"/>
      <c r="KJS25" s="84"/>
      <c r="KJT25" s="84"/>
      <c r="KJU25" s="84"/>
      <c r="KJV25" s="84"/>
      <c r="KJW25" s="84"/>
      <c r="KJX25" s="84"/>
      <c r="KJY25" s="84"/>
      <c r="KJZ25" s="84"/>
      <c r="KKA25" s="84"/>
      <c r="KKB25" s="84"/>
      <c r="KKC25" s="84"/>
      <c r="KKD25" s="84"/>
      <c r="KKE25" s="84"/>
      <c r="KKF25" s="84"/>
      <c r="KKG25" s="84"/>
      <c r="KKH25" s="84"/>
      <c r="KKI25" s="84"/>
      <c r="KKJ25" s="84"/>
      <c r="KKK25" s="84"/>
      <c r="KKL25" s="84"/>
      <c r="KKM25" s="84"/>
      <c r="KKN25" s="84"/>
      <c r="KKO25" s="84"/>
      <c r="KKP25" s="84"/>
      <c r="KKQ25" s="84"/>
      <c r="KKR25" s="84"/>
      <c r="KKS25" s="84"/>
      <c r="KKT25" s="84"/>
      <c r="KKU25" s="84"/>
      <c r="KKV25" s="84"/>
      <c r="KKW25" s="84"/>
      <c r="KKX25" s="84"/>
      <c r="KKY25" s="84"/>
      <c r="KKZ25" s="84"/>
      <c r="KLA25" s="84"/>
      <c r="KLB25" s="84"/>
      <c r="KLC25" s="84"/>
      <c r="KLD25" s="84"/>
      <c r="KLE25" s="84"/>
      <c r="KLF25" s="84"/>
      <c r="KLG25" s="84"/>
      <c r="KLH25" s="84"/>
      <c r="KLI25" s="84"/>
      <c r="KLJ25" s="84"/>
      <c r="KLK25" s="84"/>
      <c r="KLL25" s="84"/>
      <c r="KLM25" s="84"/>
      <c r="KLN25" s="84"/>
      <c r="KLO25" s="84"/>
      <c r="KLP25" s="84"/>
      <c r="KLQ25" s="84"/>
      <c r="KLR25" s="84"/>
      <c r="KLS25" s="84"/>
      <c r="KLT25" s="84"/>
      <c r="KLU25" s="84"/>
      <c r="KLV25" s="84"/>
      <c r="KLW25" s="84"/>
      <c r="KLX25" s="84"/>
      <c r="KLY25" s="84"/>
      <c r="KLZ25" s="84"/>
      <c r="KMA25" s="84"/>
      <c r="KMB25" s="84"/>
      <c r="KMC25" s="84"/>
      <c r="KMD25" s="84"/>
      <c r="KME25" s="84"/>
      <c r="KMF25" s="84"/>
      <c r="KMG25" s="84"/>
      <c r="KMH25" s="84"/>
      <c r="KMI25" s="84"/>
      <c r="KMJ25" s="84"/>
      <c r="KMK25" s="84"/>
      <c r="KML25" s="84"/>
      <c r="KMM25" s="84"/>
      <c r="KMN25" s="84"/>
      <c r="KMO25" s="84"/>
      <c r="KMP25" s="84"/>
      <c r="KMQ25" s="84"/>
      <c r="KMR25" s="84"/>
      <c r="KMS25" s="84"/>
      <c r="KMT25" s="84"/>
      <c r="KMU25" s="84"/>
      <c r="KMV25" s="84"/>
      <c r="KMW25" s="84"/>
      <c r="KMX25" s="84"/>
      <c r="KMY25" s="84"/>
      <c r="KMZ25" s="84"/>
      <c r="KNA25" s="84"/>
      <c r="KNB25" s="84"/>
      <c r="KNC25" s="84"/>
      <c r="KND25" s="84"/>
      <c r="KNE25" s="84"/>
      <c r="KNF25" s="84"/>
      <c r="KNG25" s="84"/>
      <c r="KNH25" s="84"/>
      <c r="KNI25" s="84"/>
      <c r="KNJ25" s="84"/>
      <c r="KNK25" s="84"/>
      <c r="KNL25" s="84"/>
      <c r="KNM25" s="84"/>
      <c r="KNN25" s="84"/>
      <c r="KNO25" s="84"/>
      <c r="KNP25" s="84"/>
      <c r="KNQ25" s="84"/>
      <c r="KNR25" s="84"/>
      <c r="KNS25" s="84"/>
      <c r="KNT25" s="84"/>
      <c r="KNU25" s="84"/>
      <c r="KNV25" s="84"/>
      <c r="KNW25" s="84"/>
      <c r="KNX25" s="84"/>
      <c r="KNY25" s="84"/>
      <c r="KNZ25" s="84"/>
      <c r="KOA25" s="84"/>
      <c r="KOB25" s="84"/>
      <c r="KOC25" s="84"/>
      <c r="KOD25" s="84"/>
      <c r="KOE25" s="84"/>
      <c r="KOF25" s="84"/>
      <c r="KOG25" s="84"/>
      <c r="KOH25" s="84"/>
      <c r="KOI25" s="84"/>
      <c r="KOJ25" s="84"/>
      <c r="KOK25" s="84"/>
      <c r="KOL25" s="84"/>
      <c r="KOM25" s="84"/>
      <c r="KON25" s="84"/>
      <c r="KOO25" s="84"/>
      <c r="KOP25" s="84"/>
      <c r="KOQ25" s="84"/>
      <c r="KOR25" s="84"/>
      <c r="KOS25" s="84"/>
      <c r="KOT25" s="84"/>
      <c r="KOU25" s="84"/>
      <c r="KOV25" s="84"/>
      <c r="KOW25" s="84"/>
      <c r="KOX25" s="84"/>
      <c r="KOY25" s="84"/>
      <c r="KOZ25" s="84"/>
      <c r="KPA25" s="84"/>
      <c r="KPB25" s="84"/>
      <c r="KPC25" s="84"/>
      <c r="KPD25" s="84"/>
      <c r="KPE25" s="84"/>
      <c r="KPF25" s="84"/>
      <c r="KPG25" s="84"/>
      <c r="KPH25" s="84"/>
      <c r="KPI25" s="84"/>
      <c r="KPJ25" s="84"/>
      <c r="KPK25" s="84"/>
      <c r="KPL25" s="84"/>
      <c r="KPM25" s="84"/>
      <c r="KPN25" s="84"/>
      <c r="KPO25" s="84"/>
      <c r="KPP25" s="84"/>
      <c r="KPQ25" s="84"/>
      <c r="KPR25" s="84"/>
      <c r="KPS25" s="84"/>
      <c r="KPT25" s="84"/>
      <c r="KPU25" s="84"/>
      <c r="KPV25" s="84"/>
      <c r="KPW25" s="84"/>
      <c r="KPX25" s="84"/>
      <c r="KPY25" s="84"/>
      <c r="KPZ25" s="84"/>
      <c r="KQA25" s="84"/>
      <c r="KQB25" s="84"/>
      <c r="KQC25" s="84"/>
      <c r="KQD25" s="84"/>
      <c r="KQE25" s="84"/>
      <c r="KQF25" s="84"/>
      <c r="KQG25" s="84"/>
      <c r="KQH25" s="84"/>
      <c r="KQI25" s="84"/>
      <c r="KQJ25" s="84"/>
      <c r="KQK25" s="84"/>
      <c r="KQL25" s="84"/>
      <c r="KQM25" s="84"/>
      <c r="KQN25" s="84"/>
      <c r="KQO25" s="84"/>
      <c r="KQP25" s="84"/>
      <c r="KQQ25" s="84"/>
      <c r="KQR25" s="84"/>
      <c r="KQS25" s="84"/>
      <c r="KQT25" s="84"/>
      <c r="KQU25" s="84"/>
      <c r="KQV25" s="84"/>
      <c r="KQW25" s="84"/>
      <c r="KQX25" s="84"/>
      <c r="KQY25" s="84"/>
      <c r="KQZ25" s="84"/>
      <c r="KRA25" s="84"/>
      <c r="KRB25" s="84"/>
      <c r="KRC25" s="84"/>
      <c r="KRD25" s="84"/>
      <c r="KRE25" s="84"/>
      <c r="KRF25" s="84"/>
      <c r="KRG25" s="84"/>
      <c r="KRH25" s="84"/>
      <c r="KRI25" s="84"/>
      <c r="KRJ25" s="84"/>
      <c r="KRK25" s="84"/>
      <c r="KRL25" s="84"/>
      <c r="KRM25" s="84"/>
      <c r="KRN25" s="84"/>
      <c r="KRO25" s="84"/>
      <c r="KRP25" s="84"/>
      <c r="KRQ25" s="84"/>
      <c r="KRR25" s="84"/>
      <c r="KRS25" s="84"/>
      <c r="KRT25" s="84"/>
      <c r="KRU25" s="84"/>
      <c r="KRV25" s="84"/>
      <c r="KRW25" s="84"/>
      <c r="KRX25" s="84"/>
      <c r="KRY25" s="84"/>
      <c r="KRZ25" s="84"/>
      <c r="KSA25" s="84"/>
      <c r="KSB25" s="84"/>
      <c r="KSC25" s="84"/>
      <c r="KSD25" s="84"/>
      <c r="KSE25" s="84"/>
      <c r="KSF25" s="84"/>
      <c r="KSG25" s="84"/>
      <c r="KSH25" s="84"/>
      <c r="KSI25" s="84"/>
      <c r="KSJ25" s="84"/>
      <c r="KSK25" s="84"/>
      <c r="KSL25" s="84"/>
      <c r="KSM25" s="84"/>
      <c r="KSN25" s="84"/>
      <c r="KSO25" s="84"/>
      <c r="KSP25" s="84"/>
      <c r="KSQ25" s="84"/>
      <c r="KSR25" s="84"/>
      <c r="KSS25" s="84"/>
      <c r="KST25" s="84"/>
      <c r="KSU25" s="84"/>
      <c r="KSV25" s="84"/>
      <c r="KSW25" s="84"/>
      <c r="KSX25" s="84"/>
      <c r="KSY25" s="84"/>
      <c r="KSZ25" s="84"/>
      <c r="KTA25" s="84"/>
      <c r="KTB25" s="84"/>
      <c r="KTC25" s="84"/>
      <c r="KTD25" s="84"/>
      <c r="KTE25" s="84"/>
      <c r="KTF25" s="84"/>
      <c r="KTG25" s="84"/>
      <c r="KTH25" s="84"/>
      <c r="KTI25" s="84"/>
      <c r="KTJ25" s="84"/>
      <c r="KTK25" s="84"/>
      <c r="KTL25" s="84"/>
      <c r="KTM25" s="84"/>
      <c r="KTN25" s="84"/>
      <c r="KTO25" s="84"/>
      <c r="KTP25" s="84"/>
      <c r="KTQ25" s="84"/>
      <c r="KTR25" s="84"/>
      <c r="KTS25" s="84"/>
      <c r="KTT25" s="84"/>
      <c r="KTU25" s="84"/>
      <c r="KTV25" s="84"/>
      <c r="KTW25" s="84"/>
      <c r="KTX25" s="84"/>
      <c r="KTY25" s="84"/>
      <c r="KTZ25" s="84"/>
      <c r="KUA25" s="84"/>
      <c r="KUB25" s="84"/>
      <c r="KUC25" s="84"/>
      <c r="KUD25" s="84"/>
      <c r="KUE25" s="84"/>
      <c r="KUF25" s="84"/>
      <c r="KUG25" s="84"/>
      <c r="KUH25" s="84"/>
      <c r="KUI25" s="84"/>
      <c r="KUJ25" s="84"/>
      <c r="KUK25" s="84"/>
      <c r="KUL25" s="84"/>
      <c r="KUM25" s="84"/>
      <c r="KUN25" s="84"/>
      <c r="KUO25" s="84"/>
      <c r="KUP25" s="84"/>
      <c r="KUQ25" s="84"/>
      <c r="KUR25" s="84"/>
      <c r="KUS25" s="84"/>
      <c r="KUT25" s="84"/>
      <c r="KUU25" s="84"/>
      <c r="KUV25" s="84"/>
      <c r="KUW25" s="84"/>
      <c r="KUX25" s="84"/>
      <c r="KUY25" s="84"/>
      <c r="KUZ25" s="84"/>
      <c r="KVA25" s="84"/>
      <c r="KVB25" s="84"/>
      <c r="KVC25" s="84"/>
      <c r="KVD25" s="84"/>
      <c r="KVE25" s="84"/>
      <c r="KVF25" s="84"/>
      <c r="KVG25" s="84"/>
      <c r="KVH25" s="84"/>
      <c r="KVI25" s="84"/>
      <c r="KVJ25" s="84"/>
      <c r="KVK25" s="84"/>
      <c r="KVL25" s="84"/>
      <c r="KVM25" s="84"/>
      <c r="KVN25" s="84"/>
      <c r="KVO25" s="84"/>
      <c r="KVP25" s="84"/>
      <c r="KVQ25" s="84"/>
      <c r="KVR25" s="84"/>
      <c r="KVS25" s="84"/>
      <c r="KVT25" s="84"/>
      <c r="KVU25" s="84"/>
      <c r="KVV25" s="84"/>
      <c r="KVW25" s="84"/>
      <c r="KVX25" s="84"/>
      <c r="KVY25" s="84"/>
      <c r="KVZ25" s="84"/>
      <c r="KWA25" s="84"/>
      <c r="KWB25" s="84"/>
      <c r="KWC25" s="84"/>
      <c r="KWD25" s="84"/>
      <c r="KWE25" s="84"/>
      <c r="KWF25" s="84"/>
      <c r="KWG25" s="84"/>
      <c r="KWH25" s="84"/>
      <c r="KWI25" s="84"/>
      <c r="KWJ25" s="84"/>
      <c r="KWK25" s="84"/>
      <c r="KWL25" s="84"/>
      <c r="KWM25" s="84"/>
      <c r="KWN25" s="84"/>
      <c r="KWO25" s="84"/>
      <c r="KWP25" s="84"/>
      <c r="KWQ25" s="84"/>
      <c r="KWR25" s="84"/>
      <c r="KWS25" s="84"/>
      <c r="KWT25" s="84"/>
      <c r="KWU25" s="84"/>
      <c r="KWV25" s="84"/>
      <c r="KWW25" s="84"/>
      <c r="KWX25" s="84"/>
      <c r="KWY25" s="84"/>
      <c r="KWZ25" s="84"/>
      <c r="KXA25" s="84"/>
      <c r="KXB25" s="84"/>
      <c r="KXC25" s="84"/>
      <c r="KXD25" s="84"/>
      <c r="KXE25" s="84"/>
      <c r="KXF25" s="84"/>
      <c r="KXG25" s="84"/>
      <c r="KXH25" s="84"/>
      <c r="KXI25" s="84"/>
      <c r="KXJ25" s="84"/>
      <c r="KXK25" s="84"/>
      <c r="KXL25" s="84"/>
      <c r="KXM25" s="84"/>
      <c r="KXN25" s="84"/>
      <c r="KXO25" s="84"/>
      <c r="KXP25" s="84"/>
      <c r="KXQ25" s="84"/>
      <c r="KXR25" s="84"/>
      <c r="KXS25" s="84"/>
      <c r="KXT25" s="84"/>
      <c r="KXU25" s="84"/>
      <c r="KXV25" s="84"/>
      <c r="KXW25" s="84"/>
      <c r="KXX25" s="84"/>
      <c r="KXY25" s="84"/>
      <c r="KXZ25" s="84"/>
      <c r="KYA25" s="84"/>
      <c r="KYB25" s="84"/>
      <c r="KYC25" s="84"/>
      <c r="KYD25" s="84"/>
      <c r="KYE25" s="84"/>
      <c r="KYF25" s="84"/>
      <c r="KYG25" s="84"/>
      <c r="KYH25" s="84"/>
      <c r="KYI25" s="84"/>
      <c r="KYJ25" s="84"/>
      <c r="KYK25" s="84"/>
      <c r="KYL25" s="84"/>
      <c r="KYM25" s="84"/>
      <c r="KYN25" s="84"/>
      <c r="KYO25" s="84"/>
      <c r="KYP25" s="84"/>
      <c r="KYQ25" s="84"/>
      <c r="KYR25" s="84"/>
      <c r="KYS25" s="84"/>
      <c r="KYT25" s="84"/>
      <c r="KYU25" s="84"/>
      <c r="KYV25" s="84"/>
      <c r="KYW25" s="84"/>
      <c r="KYX25" s="84"/>
      <c r="KYY25" s="84"/>
      <c r="KYZ25" s="84"/>
      <c r="KZA25" s="84"/>
      <c r="KZB25" s="84"/>
      <c r="KZC25" s="84"/>
      <c r="KZD25" s="84"/>
      <c r="KZE25" s="84"/>
      <c r="KZF25" s="84"/>
      <c r="KZG25" s="84"/>
      <c r="KZH25" s="84"/>
      <c r="KZI25" s="84"/>
      <c r="KZJ25" s="84"/>
      <c r="KZK25" s="84"/>
      <c r="KZL25" s="84"/>
      <c r="KZM25" s="84"/>
      <c r="KZN25" s="84"/>
      <c r="KZO25" s="84"/>
      <c r="KZP25" s="84"/>
      <c r="KZQ25" s="84"/>
      <c r="KZR25" s="84"/>
      <c r="KZS25" s="84"/>
      <c r="KZT25" s="84"/>
      <c r="KZU25" s="84"/>
      <c r="KZV25" s="84"/>
      <c r="KZW25" s="84"/>
      <c r="KZX25" s="84"/>
      <c r="KZY25" s="84"/>
      <c r="KZZ25" s="84"/>
      <c r="LAA25" s="84"/>
      <c r="LAB25" s="84"/>
      <c r="LAC25" s="84"/>
      <c r="LAD25" s="84"/>
      <c r="LAE25" s="84"/>
      <c r="LAF25" s="84"/>
      <c r="LAG25" s="84"/>
      <c r="LAH25" s="84"/>
      <c r="LAI25" s="84"/>
      <c r="LAJ25" s="84"/>
      <c r="LAK25" s="84"/>
      <c r="LAL25" s="84"/>
      <c r="LAM25" s="84"/>
      <c r="LAN25" s="84"/>
      <c r="LAO25" s="84"/>
      <c r="LAP25" s="84"/>
      <c r="LAQ25" s="84"/>
      <c r="LAR25" s="84"/>
      <c r="LAS25" s="84"/>
      <c r="LAT25" s="84"/>
      <c r="LAU25" s="84"/>
      <c r="LAV25" s="84"/>
      <c r="LAW25" s="84"/>
      <c r="LAX25" s="84"/>
      <c r="LAY25" s="84"/>
      <c r="LAZ25" s="84"/>
      <c r="LBA25" s="84"/>
      <c r="LBB25" s="84"/>
      <c r="LBC25" s="84"/>
      <c r="LBD25" s="84"/>
      <c r="LBE25" s="84"/>
      <c r="LBF25" s="84"/>
      <c r="LBG25" s="84"/>
      <c r="LBH25" s="84"/>
      <c r="LBI25" s="84"/>
      <c r="LBJ25" s="84"/>
      <c r="LBK25" s="84"/>
      <c r="LBL25" s="84"/>
      <c r="LBM25" s="84"/>
      <c r="LBN25" s="84"/>
      <c r="LBO25" s="84"/>
      <c r="LBP25" s="84"/>
      <c r="LBQ25" s="84"/>
      <c r="LBR25" s="84"/>
      <c r="LBS25" s="84"/>
      <c r="LBT25" s="84"/>
      <c r="LBU25" s="84"/>
      <c r="LBV25" s="84"/>
      <c r="LBW25" s="84"/>
      <c r="LBX25" s="84"/>
      <c r="LBY25" s="84"/>
      <c r="LBZ25" s="84"/>
      <c r="LCA25" s="84"/>
      <c r="LCB25" s="84"/>
      <c r="LCC25" s="84"/>
      <c r="LCD25" s="84"/>
      <c r="LCE25" s="84"/>
      <c r="LCF25" s="84"/>
      <c r="LCG25" s="84"/>
      <c r="LCH25" s="84"/>
      <c r="LCI25" s="84"/>
      <c r="LCJ25" s="84"/>
      <c r="LCK25" s="84"/>
      <c r="LCL25" s="84"/>
      <c r="LCM25" s="84"/>
      <c r="LCN25" s="84"/>
      <c r="LCO25" s="84"/>
      <c r="LCP25" s="84"/>
      <c r="LCQ25" s="84"/>
      <c r="LCR25" s="84"/>
      <c r="LCS25" s="84"/>
      <c r="LCT25" s="84"/>
      <c r="LCU25" s="84"/>
      <c r="LCV25" s="84"/>
      <c r="LCW25" s="84"/>
      <c r="LCX25" s="84"/>
      <c r="LCY25" s="84"/>
      <c r="LCZ25" s="84"/>
      <c r="LDA25" s="84"/>
      <c r="LDB25" s="84"/>
      <c r="LDC25" s="84"/>
      <c r="LDD25" s="84"/>
      <c r="LDE25" s="84"/>
      <c r="LDF25" s="84"/>
      <c r="LDG25" s="84"/>
      <c r="LDH25" s="84"/>
      <c r="LDI25" s="84"/>
      <c r="LDJ25" s="84"/>
      <c r="LDK25" s="84"/>
      <c r="LDL25" s="84"/>
      <c r="LDM25" s="84"/>
      <c r="LDN25" s="84"/>
      <c r="LDO25" s="84"/>
      <c r="LDP25" s="84"/>
      <c r="LDQ25" s="84"/>
      <c r="LDR25" s="84"/>
      <c r="LDS25" s="84"/>
      <c r="LDT25" s="84"/>
      <c r="LDU25" s="84"/>
      <c r="LDV25" s="84"/>
      <c r="LDW25" s="84"/>
      <c r="LDX25" s="84"/>
      <c r="LDY25" s="84"/>
      <c r="LDZ25" s="84"/>
      <c r="LEA25" s="84"/>
      <c r="LEB25" s="84"/>
      <c r="LEC25" s="84"/>
      <c r="LED25" s="84"/>
      <c r="LEE25" s="84"/>
      <c r="LEF25" s="84"/>
      <c r="LEG25" s="84"/>
      <c r="LEH25" s="84"/>
      <c r="LEI25" s="84"/>
      <c r="LEJ25" s="84"/>
      <c r="LEK25" s="84"/>
      <c r="LEL25" s="84"/>
      <c r="LEM25" s="84"/>
      <c r="LEN25" s="84"/>
      <c r="LEO25" s="84"/>
      <c r="LEP25" s="84"/>
      <c r="LEQ25" s="84"/>
      <c r="LER25" s="84"/>
      <c r="LES25" s="84"/>
      <c r="LET25" s="84"/>
      <c r="LEU25" s="84"/>
      <c r="LEV25" s="84"/>
      <c r="LEW25" s="84"/>
      <c r="LEX25" s="84"/>
      <c r="LEY25" s="84"/>
      <c r="LEZ25" s="84"/>
      <c r="LFA25" s="84"/>
      <c r="LFB25" s="84"/>
      <c r="LFC25" s="84"/>
      <c r="LFD25" s="84"/>
      <c r="LFE25" s="84"/>
      <c r="LFF25" s="84"/>
      <c r="LFG25" s="84"/>
      <c r="LFH25" s="84"/>
      <c r="LFI25" s="84"/>
      <c r="LFJ25" s="84"/>
      <c r="LFK25" s="84"/>
      <c r="LFL25" s="84"/>
      <c r="LFM25" s="84"/>
      <c r="LFN25" s="84"/>
      <c r="LFO25" s="84"/>
      <c r="LFP25" s="84"/>
      <c r="LFQ25" s="84"/>
      <c r="LFR25" s="84"/>
      <c r="LFS25" s="84"/>
      <c r="LFT25" s="84"/>
      <c r="LFU25" s="84"/>
      <c r="LFV25" s="84"/>
      <c r="LFW25" s="84"/>
      <c r="LFX25" s="84"/>
      <c r="LFY25" s="84"/>
      <c r="LFZ25" s="84"/>
      <c r="LGA25" s="84"/>
      <c r="LGB25" s="84"/>
      <c r="LGC25" s="84"/>
      <c r="LGD25" s="84"/>
      <c r="LGE25" s="84"/>
      <c r="LGF25" s="84"/>
      <c r="LGG25" s="84"/>
      <c r="LGH25" s="84"/>
      <c r="LGI25" s="84"/>
      <c r="LGJ25" s="84"/>
      <c r="LGK25" s="84"/>
      <c r="LGL25" s="84"/>
      <c r="LGM25" s="84"/>
      <c r="LGN25" s="84"/>
      <c r="LGO25" s="84"/>
      <c r="LGP25" s="84"/>
      <c r="LGQ25" s="84"/>
      <c r="LGR25" s="84"/>
      <c r="LGS25" s="84"/>
      <c r="LGT25" s="84"/>
      <c r="LGU25" s="84"/>
      <c r="LGV25" s="84"/>
      <c r="LGW25" s="84"/>
      <c r="LGX25" s="84"/>
      <c r="LGY25" s="84"/>
      <c r="LGZ25" s="84"/>
      <c r="LHA25" s="84"/>
      <c r="LHB25" s="84"/>
      <c r="LHC25" s="84"/>
      <c r="LHD25" s="84"/>
      <c r="LHE25" s="84"/>
      <c r="LHF25" s="84"/>
      <c r="LHG25" s="84"/>
      <c r="LHH25" s="84"/>
      <c r="LHI25" s="84"/>
      <c r="LHJ25" s="84"/>
      <c r="LHK25" s="84"/>
      <c r="LHL25" s="84"/>
      <c r="LHM25" s="84"/>
      <c r="LHN25" s="84"/>
      <c r="LHO25" s="84"/>
      <c r="LHP25" s="84"/>
      <c r="LHQ25" s="84"/>
      <c r="LHR25" s="84"/>
      <c r="LHS25" s="84"/>
      <c r="LHT25" s="84"/>
      <c r="LHU25" s="84"/>
      <c r="LHV25" s="84"/>
      <c r="LHW25" s="84"/>
      <c r="LHX25" s="84"/>
      <c r="LHY25" s="84"/>
      <c r="LHZ25" s="84"/>
      <c r="LIA25" s="84"/>
      <c r="LIB25" s="84"/>
      <c r="LIC25" s="84"/>
      <c r="LID25" s="84"/>
      <c r="LIE25" s="84"/>
      <c r="LIF25" s="84"/>
      <c r="LIG25" s="84"/>
      <c r="LIH25" s="84"/>
      <c r="LII25" s="84"/>
      <c r="LIJ25" s="84"/>
      <c r="LIK25" s="84"/>
      <c r="LIL25" s="84"/>
      <c r="LIM25" s="84"/>
      <c r="LIN25" s="84"/>
      <c r="LIO25" s="84"/>
      <c r="LIP25" s="84"/>
      <c r="LIQ25" s="84"/>
      <c r="LIR25" s="84"/>
      <c r="LIS25" s="84"/>
      <c r="LIT25" s="84"/>
      <c r="LIU25" s="84"/>
      <c r="LIV25" s="84"/>
      <c r="LIW25" s="84"/>
      <c r="LIX25" s="84"/>
      <c r="LIY25" s="84"/>
      <c r="LIZ25" s="84"/>
      <c r="LJA25" s="84"/>
      <c r="LJB25" s="84"/>
      <c r="LJC25" s="84"/>
      <c r="LJD25" s="84"/>
      <c r="LJE25" s="84"/>
      <c r="LJF25" s="84"/>
      <c r="LJG25" s="84"/>
      <c r="LJH25" s="84"/>
      <c r="LJI25" s="84"/>
      <c r="LJJ25" s="84"/>
      <c r="LJK25" s="84"/>
      <c r="LJL25" s="84"/>
      <c r="LJM25" s="84"/>
      <c r="LJN25" s="84"/>
      <c r="LJO25" s="84"/>
      <c r="LJP25" s="84"/>
      <c r="LJQ25" s="84"/>
      <c r="LJR25" s="84"/>
      <c r="LJS25" s="84"/>
      <c r="LJT25" s="84"/>
      <c r="LJU25" s="84"/>
      <c r="LJV25" s="84"/>
      <c r="LJW25" s="84"/>
      <c r="LJX25" s="84"/>
      <c r="LJY25" s="84"/>
      <c r="LJZ25" s="84"/>
      <c r="LKA25" s="84"/>
      <c r="LKB25" s="84"/>
      <c r="LKC25" s="84"/>
      <c r="LKD25" s="84"/>
      <c r="LKE25" s="84"/>
      <c r="LKF25" s="84"/>
      <c r="LKG25" s="84"/>
      <c r="LKH25" s="84"/>
      <c r="LKI25" s="84"/>
      <c r="LKJ25" s="84"/>
      <c r="LKK25" s="84"/>
      <c r="LKL25" s="84"/>
      <c r="LKM25" s="84"/>
      <c r="LKN25" s="84"/>
      <c r="LKO25" s="84"/>
      <c r="LKP25" s="84"/>
      <c r="LKQ25" s="84"/>
      <c r="LKR25" s="84"/>
      <c r="LKS25" s="84"/>
      <c r="LKT25" s="84"/>
      <c r="LKU25" s="84"/>
      <c r="LKV25" s="84"/>
      <c r="LKW25" s="84"/>
      <c r="LKX25" s="84"/>
      <c r="LKY25" s="84"/>
      <c r="LKZ25" s="84"/>
      <c r="LLA25" s="84"/>
      <c r="LLB25" s="84"/>
      <c r="LLC25" s="84"/>
      <c r="LLD25" s="84"/>
      <c r="LLE25" s="84"/>
      <c r="LLF25" s="84"/>
      <c r="LLG25" s="84"/>
      <c r="LLH25" s="84"/>
      <c r="LLI25" s="84"/>
      <c r="LLJ25" s="84"/>
      <c r="LLK25" s="84"/>
      <c r="LLL25" s="84"/>
      <c r="LLM25" s="84"/>
      <c r="LLN25" s="84"/>
      <c r="LLO25" s="84"/>
      <c r="LLP25" s="84"/>
      <c r="LLQ25" s="84"/>
      <c r="LLR25" s="84"/>
      <c r="LLS25" s="84"/>
      <c r="LLT25" s="84"/>
      <c r="LLU25" s="84"/>
      <c r="LLV25" s="84"/>
      <c r="LLW25" s="84"/>
      <c r="LLX25" s="84"/>
      <c r="LLY25" s="84"/>
      <c r="LLZ25" s="84"/>
      <c r="LMA25" s="84"/>
      <c r="LMB25" s="84"/>
      <c r="LMC25" s="84"/>
      <c r="LMD25" s="84"/>
      <c r="LME25" s="84"/>
      <c r="LMF25" s="84"/>
      <c r="LMG25" s="84"/>
      <c r="LMH25" s="84"/>
      <c r="LMI25" s="84"/>
      <c r="LMJ25" s="84"/>
      <c r="LMK25" s="84"/>
      <c r="LML25" s="84"/>
      <c r="LMM25" s="84"/>
      <c r="LMN25" s="84"/>
      <c r="LMO25" s="84"/>
      <c r="LMP25" s="84"/>
      <c r="LMQ25" s="84"/>
      <c r="LMR25" s="84"/>
      <c r="LMS25" s="84"/>
      <c r="LMT25" s="84"/>
      <c r="LMU25" s="84"/>
      <c r="LMV25" s="84"/>
      <c r="LMW25" s="84"/>
      <c r="LMX25" s="84"/>
      <c r="LMY25" s="84"/>
      <c r="LMZ25" s="84"/>
      <c r="LNA25" s="84"/>
      <c r="LNB25" s="84"/>
      <c r="LNC25" s="84"/>
      <c r="LND25" s="84"/>
      <c r="LNE25" s="84"/>
      <c r="LNF25" s="84"/>
      <c r="LNG25" s="84"/>
      <c r="LNH25" s="84"/>
      <c r="LNI25" s="84"/>
      <c r="LNJ25" s="84"/>
      <c r="LNK25" s="84"/>
      <c r="LNL25" s="84"/>
      <c r="LNM25" s="84"/>
      <c r="LNN25" s="84"/>
      <c r="LNO25" s="84"/>
      <c r="LNP25" s="84"/>
      <c r="LNQ25" s="84"/>
      <c r="LNR25" s="84"/>
      <c r="LNS25" s="84"/>
      <c r="LNT25" s="84"/>
      <c r="LNU25" s="84"/>
      <c r="LNV25" s="84"/>
      <c r="LNW25" s="84"/>
      <c r="LNX25" s="84"/>
      <c r="LNY25" s="84"/>
      <c r="LNZ25" s="84"/>
      <c r="LOA25" s="84"/>
      <c r="LOB25" s="84"/>
      <c r="LOC25" s="84"/>
      <c r="LOD25" s="84"/>
      <c r="LOE25" s="84"/>
      <c r="LOF25" s="84"/>
      <c r="LOG25" s="84"/>
      <c r="LOH25" s="84"/>
      <c r="LOI25" s="84"/>
      <c r="LOJ25" s="84"/>
      <c r="LOK25" s="84"/>
      <c r="LOL25" s="84"/>
      <c r="LOM25" s="84"/>
      <c r="LON25" s="84"/>
      <c r="LOO25" s="84"/>
      <c r="LOP25" s="84"/>
      <c r="LOQ25" s="84"/>
      <c r="LOR25" s="84"/>
      <c r="LOS25" s="84"/>
      <c r="LOT25" s="84"/>
      <c r="LOU25" s="84"/>
      <c r="LOV25" s="84"/>
      <c r="LOW25" s="84"/>
      <c r="LOX25" s="84"/>
      <c r="LOY25" s="84"/>
      <c r="LOZ25" s="84"/>
      <c r="LPA25" s="84"/>
      <c r="LPB25" s="84"/>
      <c r="LPC25" s="84"/>
      <c r="LPD25" s="84"/>
      <c r="LPE25" s="84"/>
      <c r="LPF25" s="84"/>
      <c r="LPG25" s="84"/>
      <c r="LPH25" s="84"/>
      <c r="LPI25" s="84"/>
      <c r="LPJ25" s="84"/>
      <c r="LPK25" s="84"/>
      <c r="LPL25" s="84"/>
      <c r="LPM25" s="84"/>
      <c r="LPN25" s="84"/>
      <c r="LPO25" s="84"/>
      <c r="LPP25" s="84"/>
      <c r="LPQ25" s="84"/>
      <c r="LPR25" s="84"/>
      <c r="LPS25" s="84"/>
      <c r="LPT25" s="84"/>
      <c r="LPU25" s="84"/>
      <c r="LPV25" s="84"/>
      <c r="LPW25" s="84"/>
      <c r="LPX25" s="84"/>
      <c r="LPY25" s="84"/>
      <c r="LPZ25" s="84"/>
      <c r="LQA25" s="84"/>
      <c r="LQB25" s="84"/>
      <c r="LQC25" s="84"/>
      <c r="LQD25" s="84"/>
      <c r="LQE25" s="84"/>
      <c r="LQF25" s="84"/>
      <c r="LQG25" s="84"/>
      <c r="LQH25" s="84"/>
      <c r="LQI25" s="84"/>
      <c r="LQJ25" s="84"/>
      <c r="LQK25" s="84"/>
      <c r="LQL25" s="84"/>
      <c r="LQM25" s="84"/>
      <c r="LQN25" s="84"/>
      <c r="LQO25" s="84"/>
      <c r="LQP25" s="84"/>
      <c r="LQQ25" s="84"/>
      <c r="LQR25" s="84"/>
      <c r="LQS25" s="84"/>
      <c r="LQT25" s="84"/>
      <c r="LQU25" s="84"/>
      <c r="LQV25" s="84"/>
      <c r="LQW25" s="84"/>
      <c r="LQX25" s="84"/>
      <c r="LQY25" s="84"/>
      <c r="LQZ25" s="84"/>
      <c r="LRA25" s="84"/>
      <c r="LRB25" s="84"/>
      <c r="LRC25" s="84"/>
      <c r="LRD25" s="84"/>
      <c r="LRE25" s="84"/>
      <c r="LRF25" s="84"/>
      <c r="LRG25" s="84"/>
      <c r="LRH25" s="84"/>
      <c r="LRI25" s="84"/>
      <c r="LRJ25" s="84"/>
      <c r="LRK25" s="84"/>
      <c r="LRL25" s="84"/>
      <c r="LRM25" s="84"/>
      <c r="LRN25" s="84"/>
      <c r="LRO25" s="84"/>
      <c r="LRP25" s="84"/>
      <c r="LRQ25" s="84"/>
      <c r="LRR25" s="84"/>
      <c r="LRS25" s="84"/>
      <c r="LRT25" s="84"/>
      <c r="LRU25" s="84"/>
      <c r="LRV25" s="84"/>
      <c r="LRW25" s="84"/>
      <c r="LRX25" s="84"/>
      <c r="LRY25" s="84"/>
      <c r="LRZ25" s="84"/>
      <c r="LSA25" s="84"/>
      <c r="LSB25" s="84"/>
      <c r="LSC25" s="84"/>
      <c r="LSD25" s="84"/>
      <c r="LSE25" s="84"/>
      <c r="LSF25" s="84"/>
      <c r="LSG25" s="84"/>
      <c r="LSH25" s="84"/>
      <c r="LSI25" s="84"/>
      <c r="LSJ25" s="84"/>
      <c r="LSK25" s="84"/>
      <c r="LSL25" s="84"/>
      <c r="LSM25" s="84"/>
      <c r="LSN25" s="84"/>
      <c r="LSO25" s="84"/>
      <c r="LSP25" s="84"/>
      <c r="LSQ25" s="84"/>
      <c r="LSR25" s="84"/>
      <c r="LSS25" s="84"/>
      <c r="LST25" s="84"/>
      <c r="LSU25" s="84"/>
      <c r="LSV25" s="84"/>
      <c r="LSW25" s="84"/>
      <c r="LSX25" s="84"/>
      <c r="LSY25" s="84"/>
      <c r="LSZ25" s="84"/>
      <c r="LTA25" s="84"/>
      <c r="LTB25" s="84"/>
      <c r="LTC25" s="84"/>
      <c r="LTD25" s="84"/>
      <c r="LTE25" s="84"/>
      <c r="LTF25" s="84"/>
      <c r="LTG25" s="84"/>
      <c r="LTH25" s="84"/>
      <c r="LTI25" s="84"/>
      <c r="LTJ25" s="84"/>
      <c r="LTK25" s="84"/>
      <c r="LTL25" s="84"/>
      <c r="LTM25" s="84"/>
      <c r="LTN25" s="84"/>
      <c r="LTO25" s="84"/>
      <c r="LTP25" s="84"/>
      <c r="LTQ25" s="84"/>
      <c r="LTR25" s="84"/>
      <c r="LTS25" s="84"/>
      <c r="LTT25" s="84"/>
      <c r="LTU25" s="84"/>
      <c r="LTV25" s="84"/>
      <c r="LTW25" s="84"/>
      <c r="LTX25" s="84"/>
      <c r="LTY25" s="84"/>
      <c r="LTZ25" s="84"/>
      <c r="LUA25" s="84"/>
      <c r="LUB25" s="84"/>
      <c r="LUC25" s="84"/>
      <c r="LUD25" s="84"/>
      <c r="LUE25" s="84"/>
      <c r="LUF25" s="84"/>
      <c r="LUG25" s="84"/>
      <c r="LUH25" s="84"/>
      <c r="LUI25" s="84"/>
      <c r="LUJ25" s="84"/>
      <c r="LUK25" s="84"/>
      <c r="LUL25" s="84"/>
      <c r="LUM25" s="84"/>
      <c r="LUN25" s="84"/>
      <c r="LUO25" s="84"/>
      <c r="LUP25" s="84"/>
      <c r="LUQ25" s="84"/>
      <c r="LUR25" s="84"/>
      <c r="LUS25" s="84"/>
      <c r="LUT25" s="84"/>
      <c r="LUU25" s="84"/>
      <c r="LUV25" s="84"/>
      <c r="LUW25" s="84"/>
      <c r="LUX25" s="84"/>
      <c r="LUY25" s="84"/>
      <c r="LUZ25" s="84"/>
      <c r="LVA25" s="84"/>
      <c r="LVB25" s="84"/>
      <c r="LVC25" s="84"/>
      <c r="LVD25" s="84"/>
      <c r="LVE25" s="84"/>
      <c r="LVF25" s="84"/>
      <c r="LVG25" s="84"/>
      <c r="LVH25" s="84"/>
      <c r="LVI25" s="84"/>
      <c r="LVJ25" s="84"/>
      <c r="LVK25" s="84"/>
      <c r="LVL25" s="84"/>
      <c r="LVM25" s="84"/>
      <c r="LVN25" s="84"/>
      <c r="LVO25" s="84"/>
      <c r="LVP25" s="84"/>
      <c r="LVQ25" s="84"/>
      <c r="LVR25" s="84"/>
      <c r="LVS25" s="84"/>
      <c r="LVT25" s="84"/>
      <c r="LVU25" s="84"/>
      <c r="LVV25" s="84"/>
      <c r="LVW25" s="84"/>
      <c r="LVX25" s="84"/>
      <c r="LVY25" s="84"/>
      <c r="LVZ25" s="84"/>
      <c r="LWA25" s="84"/>
      <c r="LWB25" s="84"/>
      <c r="LWC25" s="84"/>
      <c r="LWD25" s="84"/>
      <c r="LWE25" s="84"/>
      <c r="LWF25" s="84"/>
      <c r="LWG25" s="84"/>
      <c r="LWH25" s="84"/>
      <c r="LWI25" s="84"/>
      <c r="LWJ25" s="84"/>
      <c r="LWK25" s="84"/>
      <c r="LWL25" s="84"/>
      <c r="LWM25" s="84"/>
      <c r="LWN25" s="84"/>
      <c r="LWO25" s="84"/>
      <c r="LWP25" s="84"/>
      <c r="LWQ25" s="84"/>
      <c r="LWR25" s="84"/>
      <c r="LWS25" s="84"/>
      <c r="LWT25" s="84"/>
      <c r="LWU25" s="84"/>
      <c r="LWV25" s="84"/>
      <c r="LWW25" s="84"/>
      <c r="LWX25" s="84"/>
      <c r="LWY25" s="84"/>
      <c r="LWZ25" s="84"/>
      <c r="LXA25" s="84"/>
      <c r="LXB25" s="84"/>
      <c r="LXC25" s="84"/>
      <c r="LXD25" s="84"/>
      <c r="LXE25" s="84"/>
      <c r="LXF25" s="84"/>
      <c r="LXG25" s="84"/>
      <c r="LXH25" s="84"/>
      <c r="LXI25" s="84"/>
      <c r="LXJ25" s="84"/>
      <c r="LXK25" s="84"/>
      <c r="LXL25" s="84"/>
      <c r="LXM25" s="84"/>
      <c r="LXN25" s="84"/>
      <c r="LXO25" s="84"/>
      <c r="LXP25" s="84"/>
      <c r="LXQ25" s="84"/>
      <c r="LXR25" s="84"/>
      <c r="LXS25" s="84"/>
      <c r="LXT25" s="84"/>
      <c r="LXU25" s="84"/>
      <c r="LXV25" s="84"/>
      <c r="LXW25" s="84"/>
      <c r="LXX25" s="84"/>
      <c r="LXY25" s="84"/>
      <c r="LXZ25" s="84"/>
      <c r="LYA25" s="84"/>
      <c r="LYB25" s="84"/>
      <c r="LYC25" s="84"/>
      <c r="LYD25" s="84"/>
      <c r="LYE25" s="84"/>
      <c r="LYF25" s="84"/>
      <c r="LYG25" s="84"/>
      <c r="LYH25" s="84"/>
      <c r="LYI25" s="84"/>
      <c r="LYJ25" s="84"/>
      <c r="LYK25" s="84"/>
      <c r="LYL25" s="84"/>
      <c r="LYM25" s="84"/>
      <c r="LYN25" s="84"/>
      <c r="LYO25" s="84"/>
      <c r="LYP25" s="84"/>
      <c r="LYQ25" s="84"/>
      <c r="LYR25" s="84"/>
      <c r="LYS25" s="84"/>
      <c r="LYT25" s="84"/>
      <c r="LYU25" s="84"/>
      <c r="LYV25" s="84"/>
      <c r="LYW25" s="84"/>
      <c r="LYX25" s="84"/>
      <c r="LYY25" s="84"/>
      <c r="LYZ25" s="84"/>
      <c r="LZA25" s="84"/>
      <c r="LZB25" s="84"/>
      <c r="LZC25" s="84"/>
      <c r="LZD25" s="84"/>
      <c r="LZE25" s="84"/>
      <c r="LZF25" s="84"/>
      <c r="LZG25" s="84"/>
      <c r="LZH25" s="84"/>
      <c r="LZI25" s="84"/>
      <c r="LZJ25" s="84"/>
      <c r="LZK25" s="84"/>
      <c r="LZL25" s="84"/>
      <c r="LZM25" s="84"/>
      <c r="LZN25" s="84"/>
      <c r="LZO25" s="84"/>
      <c r="LZP25" s="84"/>
      <c r="LZQ25" s="84"/>
      <c r="LZR25" s="84"/>
      <c r="LZS25" s="84"/>
      <c r="LZT25" s="84"/>
      <c r="LZU25" s="84"/>
      <c r="LZV25" s="84"/>
      <c r="LZW25" s="84"/>
      <c r="LZX25" s="84"/>
      <c r="LZY25" s="84"/>
      <c r="LZZ25" s="84"/>
      <c r="MAA25" s="84"/>
      <c r="MAB25" s="84"/>
      <c r="MAC25" s="84"/>
      <c r="MAD25" s="84"/>
      <c r="MAE25" s="84"/>
      <c r="MAF25" s="84"/>
      <c r="MAG25" s="84"/>
      <c r="MAH25" s="84"/>
      <c r="MAI25" s="84"/>
      <c r="MAJ25" s="84"/>
      <c r="MAK25" s="84"/>
      <c r="MAL25" s="84"/>
      <c r="MAM25" s="84"/>
      <c r="MAN25" s="84"/>
      <c r="MAO25" s="84"/>
      <c r="MAP25" s="84"/>
      <c r="MAQ25" s="84"/>
      <c r="MAR25" s="84"/>
      <c r="MAS25" s="84"/>
      <c r="MAT25" s="84"/>
      <c r="MAU25" s="84"/>
      <c r="MAV25" s="84"/>
      <c r="MAW25" s="84"/>
      <c r="MAX25" s="84"/>
      <c r="MAY25" s="84"/>
      <c r="MAZ25" s="84"/>
      <c r="MBA25" s="84"/>
      <c r="MBB25" s="84"/>
      <c r="MBC25" s="84"/>
      <c r="MBD25" s="84"/>
      <c r="MBE25" s="84"/>
      <c r="MBF25" s="84"/>
      <c r="MBG25" s="84"/>
      <c r="MBH25" s="84"/>
      <c r="MBI25" s="84"/>
      <c r="MBJ25" s="84"/>
      <c r="MBK25" s="84"/>
      <c r="MBL25" s="84"/>
      <c r="MBM25" s="84"/>
      <c r="MBN25" s="84"/>
      <c r="MBO25" s="84"/>
      <c r="MBP25" s="84"/>
      <c r="MBQ25" s="84"/>
      <c r="MBR25" s="84"/>
      <c r="MBS25" s="84"/>
      <c r="MBT25" s="84"/>
      <c r="MBU25" s="84"/>
      <c r="MBV25" s="84"/>
      <c r="MBW25" s="84"/>
      <c r="MBX25" s="84"/>
      <c r="MBY25" s="84"/>
      <c r="MBZ25" s="84"/>
      <c r="MCA25" s="84"/>
      <c r="MCB25" s="84"/>
      <c r="MCC25" s="84"/>
      <c r="MCD25" s="84"/>
      <c r="MCE25" s="84"/>
      <c r="MCF25" s="84"/>
      <c r="MCG25" s="84"/>
      <c r="MCH25" s="84"/>
      <c r="MCI25" s="84"/>
      <c r="MCJ25" s="84"/>
      <c r="MCK25" s="84"/>
      <c r="MCL25" s="84"/>
      <c r="MCM25" s="84"/>
      <c r="MCN25" s="84"/>
      <c r="MCO25" s="84"/>
      <c r="MCP25" s="84"/>
      <c r="MCQ25" s="84"/>
      <c r="MCR25" s="84"/>
      <c r="MCS25" s="84"/>
      <c r="MCT25" s="84"/>
      <c r="MCU25" s="84"/>
      <c r="MCV25" s="84"/>
      <c r="MCW25" s="84"/>
      <c r="MCX25" s="84"/>
      <c r="MCY25" s="84"/>
      <c r="MCZ25" s="84"/>
      <c r="MDA25" s="84"/>
      <c r="MDB25" s="84"/>
      <c r="MDC25" s="84"/>
      <c r="MDD25" s="84"/>
      <c r="MDE25" s="84"/>
      <c r="MDF25" s="84"/>
      <c r="MDG25" s="84"/>
      <c r="MDH25" s="84"/>
      <c r="MDI25" s="84"/>
      <c r="MDJ25" s="84"/>
      <c r="MDK25" s="84"/>
      <c r="MDL25" s="84"/>
      <c r="MDM25" s="84"/>
      <c r="MDN25" s="84"/>
      <c r="MDO25" s="84"/>
      <c r="MDP25" s="84"/>
      <c r="MDQ25" s="84"/>
      <c r="MDR25" s="84"/>
      <c r="MDS25" s="84"/>
      <c r="MDT25" s="84"/>
      <c r="MDU25" s="84"/>
      <c r="MDV25" s="84"/>
      <c r="MDW25" s="84"/>
      <c r="MDX25" s="84"/>
      <c r="MDY25" s="84"/>
      <c r="MDZ25" s="84"/>
      <c r="MEA25" s="84"/>
      <c r="MEB25" s="84"/>
      <c r="MEC25" s="84"/>
      <c r="MED25" s="84"/>
      <c r="MEE25" s="84"/>
      <c r="MEF25" s="84"/>
      <c r="MEG25" s="84"/>
      <c r="MEH25" s="84"/>
      <c r="MEI25" s="84"/>
      <c r="MEJ25" s="84"/>
      <c r="MEK25" s="84"/>
      <c r="MEL25" s="84"/>
      <c r="MEM25" s="84"/>
      <c r="MEN25" s="84"/>
      <c r="MEO25" s="84"/>
      <c r="MEP25" s="84"/>
      <c r="MEQ25" s="84"/>
      <c r="MER25" s="84"/>
      <c r="MES25" s="84"/>
      <c r="MET25" s="84"/>
      <c r="MEU25" s="84"/>
      <c r="MEV25" s="84"/>
      <c r="MEW25" s="84"/>
      <c r="MEX25" s="84"/>
      <c r="MEY25" s="84"/>
      <c r="MEZ25" s="84"/>
      <c r="MFA25" s="84"/>
      <c r="MFB25" s="84"/>
      <c r="MFC25" s="84"/>
      <c r="MFD25" s="84"/>
      <c r="MFE25" s="84"/>
      <c r="MFF25" s="84"/>
      <c r="MFG25" s="84"/>
      <c r="MFH25" s="84"/>
      <c r="MFI25" s="84"/>
      <c r="MFJ25" s="84"/>
      <c r="MFK25" s="84"/>
      <c r="MFL25" s="84"/>
      <c r="MFM25" s="84"/>
      <c r="MFN25" s="84"/>
      <c r="MFO25" s="84"/>
      <c r="MFP25" s="84"/>
      <c r="MFQ25" s="84"/>
      <c r="MFR25" s="84"/>
      <c r="MFS25" s="84"/>
      <c r="MFT25" s="84"/>
      <c r="MFU25" s="84"/>
      <c r="MFV25" s="84"/>
      <c r="MFW25" s="84"/>
      <c r="MFX25" s="84"/>
      <c r="MFY25" s="84"/>
      <c r="MFZ25" s="84"/>
      <c r="MGA25" s="84"/>
      <c r="MGB25" s="84"/>
      <c r="MGC25" s="84"/>
      <c r="MGD25" s="84"/>
      <c r="MGE25" s="84"/>
      <c r="MGF25" s="84"/>
      <c r="MGG25" s="84"/>
      <c r="MGH25" s="84"/>
      <c r="MGI25" s="84"/>
      <c r="MGJ25" s="84"/>
      <c r="MGK25" s="84"/>
      <c r="MGL25" s="84"/>
      <c r="MGM25" s="84"/>
      <c r="MGN25" s="84"/>
      <c r="MGO25" s="84"/>
      <c r="MGP25" s="84"/>
      <c r="MGQ25" s="84"/>
      <c r="MGR25" s="84"/>
      <c r="MGS25" s="84"/>
      <c r="MGT25" s="84"/>
      <c r="MGU25" s="84"/>
      <c r="MGV25" s="84"/>
      <c r="MGW25" s="84"/>
      <c r="MGX25" s="84"/>
      <c r="MGY25" s="84"/>
      <c r="MGZ25" s="84"/>
      <c r="MHA25" s="84"/>
      <c r="MHB25" s="84"/>
      <c r="MHC25" s="84"/>
      <c r="MHD25" s="84"/>
      <c r="MHE25" s="84"/>
      <c r="MHF25" s="84"/>
      <c r="MHG25" s="84"/>
      <c r="MHH25" s="84"/>
      <c r="MHI25" s="84"/>
      <c r="MHJ25" s="84"/>
      <c r="MHK25" s="84"/>
      <c r="MHL25" s="84"/>
      <c r="MHM25" s="84"/>
      <c r="MHN25" s="84"/>
      <c r="MHO25" s="84"/>
      <c r="MHP25" s="84"/>
      <c r="MHQ25" s="84"/>
      <c r="MHR25" s="84"/>
      <c r="MHS25" s="84"/>
      <c r="MHT25" s="84"/>
      <c r="MHU25" s="84"/>
      <c r="MHV25" s="84"/>
      <c r="MHW25" s="84"/>
      <c r="MHX25" s="84"/>
      <c r="MHY25" s="84"/>
      <c r="MHZ25" s="84"/>
      <c r="MIA25" s="84"/>
      <c r="MIB25" s="84"/>
      <c r="MIC25" s="84"/>
      <c r="MID25" s="84"/>
      <c r="MIE25" s="84"/>
      <c r="MIF25" s="84"/>
      <c r="MIG25" s="84"/>
      <c r="MIH25" s="84"/>
      <c r="MII25" s="84"/>
      <c r="MIJ25" s="84"/>
      <c r="MIK25" s="84"/>
      <c r="MIL25" s="84"/>
      <c r="MIM25" s="84"/>
      <c r="MIN25" s="84"/>
      <c r="MIO25" s="84"/>
      <c r="MIP25" s="84"/>
      <c r="MIQ25" s="84"/>
      <c r="MIR25" s="84"/>
      <c r="MIS25" s="84"/>
      <c r="MIT25" s="84"/>
      <c r="MIU25" s="84"/>
      <c r="MIV25" s="84"/>
      <c r="MIW25" s="84"/>
      <c r="MIX25" s="84"/>
      <c r="MIY25" s="84"/>
      <c r="MIZ25" s="84"/>
      <c r="MJA25" s="84"/>
      <c r="MJB25" s="84"/>
      <c r="MJC25" s="84"/>
      <c r="MJD25" s="84"/>
      <c r="MJE25" s="84"/>
      <c r="MJF25" s="84"/>
      <c r="MJG25" s="84"/>
      <c r="MJH25" s="84"/>
      <c r="MJI25" s="84"/>
      <c r="MJJ25" s="84"/>
      <c r="MJK25" s="84"/>
      <c r="MJL25" s="84"/>
      <c r="MJM25" s="84"/>
      <c r="MJN25" s="84"/>
      <c r="MJO25" s="84"/>
      <c r="MJP25" s="84"/>
      <c r="MJQ25" s="84"/>
      <c r="MJR25" s="84"/>
      <c r="MJS25" s="84"/>
      <c r="MJT25" s="84"/>
      <c r="MJU25" s="84"/>
      <c r="MJV25" s="84"/>
      <c r="MJW25" s="84"/>
      <c r="MJX25" s="84"/>
      <c r="MJY25" s="84"/>
      <c r="MJZ25" s="84"/>
      <c r="MKA25" s="84"/>
      <c r="MKB25" s="84"/>
      <c r="MKC25" s="84"/>
      <c r="MKD25" s="84"/>
      <c r="MKE25" s="84"/>
      <c r="MKF25" s="84"/>
      <c r="MKG25" s="84"/>
      <c r="MKH25" s="84"/>
      <c r="MKI25" s="84"/>
      <c r="MKJ25" s="84"/>
      <c r="MKK25" s="84"/>
      <c r="MKL25" s="84"/>
      <c r="MKM25" s="84"/>
      <c r="MKN25" s="84"/>
      <c r="MKO25" s="84"/>
      <c r="MKP25" s="84"/>
      <c r="MKQ25" s="84"/>
      <c r="MKR25" s="84"/>
      <c r="MKS25" s="84"/>
      <c r="MKT25" s="84"/>
      <c r="MKU25" s="84"/>
      <c r="MKV25" s="84"/>
      <c r="MKW25" s="84"/>
      <c r="MKX25" s="84"/>
      <c r="MKY25" s="84"/>
      <c r="MKZ25" s="84"/>
      <c r="MLA25" s="84"/>
      <c r="MLB25" s="84"/>
      <c r="MLC25" s="84"/>
      <c r="MLD25" s="84"/>
      <c r="MLE25" s="84"/>
      <c r="MLF25" s="84"/>
      <c r="MLG25" s="84"/>
      <c r="MLH25" s="84"/>
      <c r="MLI25" s="84"/>
      <c r="MLJ25" s="84"/>
      <c r="MLK25" s="84"/>
      <c r="MLL25" s="84"/>
      <c r="MLM25" s="84"/>
      <c r="MLN25" s="84"/>
      <c r="MLO25" s="84"/>
      <c r="MLP25" s="84"/>
      <c r="MLQ25" s="84"/>
      <c r="MLR25" s="84"/>
      <c r="MLS25" s="84"/>
      <c r="MLT25" s="84"/>
      <c r="MLU25" s="84"/>
      <c r="MLV25" s="84"/>
      <c r="MLW25" s="84"/>
      <c r="MLX25" s="84"/>
      <c r="MLY25" s="84"/>
      <c r="MLZ25" s="84"/>
      <c r="MMA25" s="84"/>
      <c r="MMB25" s="84"/>
      <c r="MMC25" s="84"/>
      <c r="MMD25" s="84"/>
      <c r="MME25" s="84"/>
      <c r="MMF25" s="84"/>
      <c r="MMG25" s="84"/>
      <c r="MMH25" s="84"/>
      <c r="MMI25" s="84"/>
      <c r="MMJ25" s="84"/>
      <c r="MMK25" s="84"/>
      <c r="MML25" s="84"/>
      <c r="MMM25" s="84"/>
      <c r="MMN25" s="84"/>
      <c r="MMO25" s="84"/>
      <c r="MMP25" s="84"/>
      <c r="MMQ25" s="84"/>
      <c r="MMR25" s="84"/>
      <c r="MMS25" s="84"/>
      <c r="MMT25" s="84"/>
      <c r="MMU25" s="84"/>
      <c r="MMV25" s="84"/>
      <c r="MMW25" s="84"/>
      <c r="MMX25" s="84"/>
      <c r="MMY25" s="84"/>
      <c r="MMZ25" s="84"/>
      <c r="MNA25" s="84"/>
      <c r="MNB25" s="84"/>
      <c r="MNC25" s="84"/>
      <c r="MND25" s="84"/>
      <c r="MNE25" s="84"/>
      <c r="MNF25" s="84"/>
      <c r="MNG25" s="84"/>
      <c r="MNH25" s="84"/>
      <c r="MNI25" s="84"/>
      <c r="MNJ25" s="84"/>
      <c r="MNK25" s="84"/>
      <c r="MNL25" s="84"/>
      <c r="MNM25" s="84"/>
      <c r="MNN25" s="84"/>
      <c r="MNO25" s="84"/>
      <c r="MNP25" s="84"/>
      <c r="MNQ25" s="84"/>
      <c r="MNR25" s="84"/>
      <c r="MNS25" s="84"/>
      <c r="MNT25" s="84"/>
      <c r="MNU25" s="84"/>
      <c r="MNV25" s="84"/>
      <c r="MNW25" s="84"/>
      <c r="MNX25" s="84"/>
      <c r="MNY25" s="84"/>
      <c r="MNZ25" s="84"/>
      <c r="MOA25" s="84"/>
      <c r="MOB25" s="84"/>
      <c r="MOC25" s="84"/>
      <c r="MOD25" s="84"/>
      <c r="MOE25" s="84"/>
      <c r="MOF25" s="84"/>
      <c r="MOG25" s="84"/>
      <c r="MOH25" s="84"/>
      <c r="MOI25" s="84"/>
      <c r="MOJ25" s="84"/>
      <c r="MOK25" s="84"/>
      <c r="MOL25" s="84"/>
      <c r="MOM25" s="84"/>
      <c r="MON25" s="84"/>
      <c r="MOO25" s="84"/>
      <c r="MOP25" s="84"/>
      <c r="MOQ25" s="84"/>
      <c r="MOR25" s="84"/>
      <c r="MOS25" s="84"/>
      <c r="MOT25" s="84"/>
      <c r="MOU25" s="84"/>
      <c r="MOV25" s="84"/>
      <c r="MOW25" s="84"/>
      <c r="MOX25" s="84"/>
      <c r="MOY25" s="84"/>
      <c r="MOZ25" s="84"/>
      <c r="MPA25" s="84"/>
      <c r="MPB25" s="84"/>
      <c r="MPC25" s="84"/>
      <c r="MPD25" s="84"/>
      <c r="MPE25" s="84"/>
      <c r="MPF25" s="84"/>
      <c r="MPG25" s="84"/>
      <c r="MPH25" s="84"/>
      <c r="MPI25" s="84"/>
      <c r="MPJ25" s="84"/>
      <c r="MPK25" s="84"/>
      <c r="MPL25" s="84"/>
      <c r="MPM25" s="84"/>
      <c r="MPN25" s="84"/>
      <c r="MPO25" s="84"/>
      <c r="MPP25" s="84"/>
      <c r="MPQ25" s="84"/>
      <c r="MPR25" s="84"/>
      <c r="MPS25" s="84"/>
      <c r="MPT25" s="84"/>
      <c r="MPU25" s="84"/>
      <c r="MPV25" s="84"/>
      <c r="MPW25" s="84"/>
      <c r="MPX25" s="84"/>
      <c r="MPY25" s="84"/>
      <c r="MPZ25" s="84"/>
      <c r="MQA25" s="84"/>
      <c r="MQB25" s="84"/>
      <c r="MQC25" s="84"/>
      <c r="MQD25" s="84"/>
      <c r="MQE25" s="84"/>
      <c r="MQF25" s="84"/>
      <c r="MQG25" s="84"/>
      <c r="MQH25" s="84"/>
      <c r="MQI25" s="84"/>
      <c r="MQJ25" s="84"/>
      <c r="MQK25" s="84"/>
      <c r="MQL25" s="84"/>
      <c r="MQM25" s="84"/>
      <c r="MQN25" s="84"/>
      <c r="MQO25" s="84"/>
      <c r="MQP25" s="84"/>
      <c r="MQQ25" s="84"/>
      <c r="MQR25" s="84"/>
      <c r="MQS25" s="84"/>
      <c r="MQT25" s="84"/>
      <c r="MQU25" s="84"/>
      <c r="MQV25" s="84"/>
      <c r="MQW25" s="84"/>
      <c r="MQX25" s="84"/>
      <c r="MQY25" s="84"/>
      <c r="MQZ25" s="84"/>
      <c r="MRA25" s="84"/>
      <c r="MRB25" s="84"/>
      <c r="MRC25" s="84"/>
      <c r="MRD25" s="84"/>
      <c r="MRE25" s="84"/>
      <c r="MRF25" s="84"/>
      <c r="MRG25" s="84"/>
      <c r="MRH25" s="84"/>
      <c r="MRI25" s="84"/>
      <c r="MRJ25" s="84"/>
      <c r="MRK25" s="84"/>
      <c r="MRL25" s="84"/>
      <c r="MRM25" s="84"/>
      <c r="MRN25" s="84"/>
      <c r="MRO25" s="84"/>
      <c r="MRP25" s="84"/>
      <c r="MRQ25" s="84"/>
      <c r="MRR25" s="84"/>
      <c r="MRS25" s="84"/>
      <c r="MRT25" s="84"/>
      <c r="MRU25" s="84"/>
      <c r="MRV25" s="84"/>
      <c r="MRW25" s="84"/>
      <c r="MRX25" s="84"/>
      <c r="MRY25" s="84"/>
      <c r="MRZ25" s="84"/>
      <c r="MSA25" s="84"/>
      <c r="MSB25" s="84"/>
      <c r="MSC25" s="84"/>
      <c r="MSD25" s="84"/>
      <c r="MSE25" s="84"/>
      <c r="MSF25" s="84"/>
      <c r="MSG25" s="84"/>
      <c r="MSH25" s="84"/>
      <c r="MSI25" s="84"/>
      <c r="MSJ25" s="84"/>
      <c r="MSK25" s="84"/>
      <c r="MSL25" s="84"/>
      <c r="MSM25" s="84"/>
      <c r="MSN25" s="84"/>
      <c r="MSO25" s="84"/>
      <c r="MSP25" s="84"/>
      <c r="MSQ25" s="84"/>
      <c r="MSR25" s="84"/>
      <c r="MSS25" s="84"/>
      <c r="MST25" s="84"/>
      <c r="MSU25" s="84"/>
      <c r="MSV25" s="84"/>
      <c r="MSW25" s="84"/>
      <c r="MSX25" s="84"/>
      <c r="MSY25" s="84"/>
      <c r="MSZ25" s="84"/>
      <c r="MTA25" s="84"/>
      <c r="MTB25" s="84"/>
      <c r="MTC25" s="84"/>
      <c r="MTD25" s="84"/>
      <c r="MTE25" s="84"/>
      <c r="MTF25" s="84"/>
      <c r="MTG25" s="84"/>
      <c r="MTH25" s="84"/>
      <c r="MTI25" s="84"/>
      <c r="MTJ25" s="84"/>
      <c r="MTK25" s="84"/>
      <c r="MTL25" s="84"/>
      <c r="MTM25" s="84"/>
      <c r="MTN25" s="84"/>
      <c r="MTO25" s="84"/>
      <c r="MTP25" s="84"/>
      <c r="MTQ25" s="84"/>
      <c r="MTR25" s="84"/>
      <c r="MTS25" s="84"/>
      <c r="MTT25" s="84"/>
      <c r="MTU25" s="84"/>
      <c r="MTV25" s="84"/>
      <c r="MTW25" s="84"/>
      <c r="MTX25" s="84"/>
      <c r="MTY25" s="84"/>
      <c r="MTZ25" s="84"/>
      <c r="MUA25" s="84"/>
      <c r="MUB25" s="84"/>
      <c r="MUC25" s="84"/>
      <c r="MUD25" s="84"/>
      <c r="MUE25" s="84"/>
      <c r="MUF25" s="84"/>
      <c r="MUG25" s="84"/>
      <c r="MUH25" s="84"/>
      <c r="MUI25" s="84"/>
      <c r="MUJ25" s="84"/>
      <c r="MUK25" s="84"/>
      <c r="MUL25" s="84"/>
      <c r="MUM25" s="84"/>
      <c r="MUN25" s="84"/>
      <c r="MUO25" s="84"/>
      <c r="MUP25" s="84"/>
      <c r="MUQ25" s="84"/>
      <c r="MUR25" s="84"/>
      <c r="MUS25" s="84"/>
      <c r="MUT25" s="84"/>
      <c r="MUU25" s="84"/>
      <c r="MUV25" s="84"/>
      <c r="MUW25" s="84"/>
      <c r="MUX25" s="84"/>
      <c r="MUY25" s="84"/>
      <c r="MUZ25" s="84"/>
      <c r="MVA25" s="84"/>
      <c r="MVB25" s="84"/>
      <c r="MVC25" s="84"/>
      <c r="MVD25" s="84"/>
      <c r="MVE25" s="84"/>
      <c r="MVF25" s="84"/>
      <c r="MVG25" s="84"/>
      <c r="MVH25" s="84"/>
      <c r="MVI25" s="84"/>
      <c r="MVJ25" s="84"/>
      <c r="MVK25" s="84"/>
      <c r="MVL25" s="84"/>
      <c r="MVM25" s="84"/>
      <c r="MVN25" s="84"/>
      <c r="MVO25" s="84"/>
      <c r="MVP25" s="84"/>
      <c r="MVQ25" s="84"/>
      <c r="MVR25" s="84"/>
      <c r="MVS25" s="84"/>
      <c r="MVT25" s="84"/>
      <c r="MVU25" s="84"/>
      <c r="MVV25" s="84"/>
      <c r="MVW25" s="84"/>
      <c r="MVX25" s="84"/>
      <c r="MVY25" s="84"/>
      <c r="MVZ25" s="84"/>
      <c r="MWA25" s="84"/>
      <c r="MWB25" s="84"/>
      <c r="MWC25" s="84"/>
      <c r="MWD25" s="84"/>
      <c r="MWE25" s="84"/>
      <c r="MWF25" s="84"/>
      <c r="MWG25" s="84"/>
      <c r="MWH25" s="84"/>
      <c r="MWI25" s="84"/>
      <c r="MWJ25" s="84"/>
      <c r="MWK25" s="84"/>
      <c r="MWL25" s="84"/>
      <c r="MWM25" s="84"/>
      <c r="MWN25" s="84"/>
      <c r="MWO25" s="84"/>
      <c r="MWP25" s="84"/>
      <c r="MWQ25" s="84"/>
      <c r="MWR25" s="84"/>
      <c r="MWS25" s="84"/>
      <c r="MWT25" s="84"/>
      <c r="MWU25" s="84"/>
      <c r="MWV25" s="84"/>
      <c r="MWW25" s="84"/>
      <c r="MWX25" s="84"/>
      <c r="MWY25" s="84"/>
      <c r="MWZ25" s="84"/>
      <c r="MXA25" s="84"/>
      <c r="MXB25" s="84"/>
      <c r="MXC25" s="84"/>
      <c r="MXD25" s="84"/>
      <c r="MXE25" s="84"/>
      <c r="MXF25" s="84"/>
      <c r="MXG25" s="84"/>
      <c r="MXH25" s="84"/>
      <c r="MXI25" s="84"/>
      <c r="MXJ25" s="84"/>
      <c r="MXK25" s="84"/>
      <c r="MXL25" s="84"/>
      <c r="MXM25" s="84"/>
      <c r="MXN25" s="84"/>
      <c r="MXO25" s="84"/>
      <c r="MXP25" s="84"/>
      <c r="MXQ25" s="84"/>
      <c r="MXR25" s="84"/>
      <c r="MXS25" s="84"/>
      <c r="MXT25" s="84"/>
      <c r="MXU25" s="84"/>
      <c r="MXV25" s="84"/>
      <c r="MXW25" s="84"/>
      <c r="MXX25" s="84"/>
      <c r="MXY25" s="84"/>
      <c r="MXZ25" s="84"/>
      <c r="MYA25" s="84"/>
      <c r="MYB25" s="84"/>
      <c r="MYC25" s="84"/>
      <c r="MYD25" s="84"/>
      <c r="MYE25" s="84"/>
      <c r="MYF25" s="84"/>
      <c r="MYG25" s="84"/>
      <c r="MYH25" s="84"/>
      <c r="MYI25" s="84"/>
      <c r="MYJ25" s="84"/>
      <c r="MYK25" s="84"/>
      <c r="MYL25" s="84"/>
      <c r="MYM25" s="84"/>
      <c r="MYN25" s="84"/>
      <c r="MYO25" s="84"/>
      <c r="MYP25" s="84"/>
      <c r="MYQ25" s="84"/>
      <c r="MYR25" s="84"/>
      <c r="MYS25" s="84"/>
      <c r="MYT25" s="84"/>
      <c r="MYU25" s="84"/>
      <c r="MYV25" s="84"/>
      <c r="MYW25" s="84"/>
      <c r="MYX25" s="84"/>
      <c r="MYY25" s="84"/>
      <c r="MYZ25" s="84"/>
      <c r="MZA25" s="84"/>
      <c r="MZB25" s="84"/>
      <c r="MZC25" s="84"/>
      <c r="MZD25" s="84"/>
      <c r="MZE25" s="84"/>
      <c r="MZF25" s="84"/>
      <c r="MZG25" s="84"/>
      <c r="MZH25" s="84"/>
      <c r="MZI25" s="84"/>
      <c r="MZJ25" s="84"/>
      <c r="MZK25" s="84"/>
      <c r="MZL25" s="84"/>
      <c r="MZM25" s="84"/>
      <c r="MZN25" s="84"/>
      <c r="MZO25" s="84"/>
      <c r="MZP25" s="84"/>
      <c r="MZQ25" s="84"/>
      <c r="MZR25" s="84"/>
      <c r="MZS25" s="84"/>
      <c r="MZT25" s="84"/>
      <c r="MZU25" s="84"/>
      <c r="MZV25" s="84"/>
      <c r="MZW25" s="84"/>
      <c r="MZX25" s="84"/>
      <c r="MZY25" s="84"/>
      <c r="MZZ25" s="84"/>
      <c r="NAA25" s="84"/>
      <c r="NAB25" s="84"/>
      <c r="NAC25" s="84"/>
      <c r="NAD25" s="84"/>
      <c r="NAE25" s="84"/>
      <c r="NAF25" s="84"/>
      <c r="NAG25" s="84"/>
      <c r="NAH25" s="84"/>
      <c r="NAI25" s="84"/>
      <c r="NAJ25" s="84"/>
      <c r="NAK25" s="84"/>
      <c r="NAL25" s="84"/>
      <c r="NAM25" s="84"/>
      <c r="NAN25" s="84"/>
      <c r="NAO25" s="84"/>
      <c r="NAP25" s="84"/>
      <c r="NAQ25" s="84"/>
      <c r="NAR25" s="84"/>
      <c r="NAS25" s="84"/>
      <c r="NAT25" s="84"/>
      <c r="NAU25" s="84"/>
      <c r="NAV25" s="84"/>
      <c r="NAW25" s="84"/>
      <c r="NAX25" s="84"/>
      <c r="NAY25" s="84"/>
      <c r="NAZ25" s="84"/>
      <c r="NBA25" s="84"/>
      <c r="NBB25" s="84"/>
      <c r="NBC25" s="84"/>
      <c r="NBD25" s="84"/>
      <c r="NBE25" s="84"/>
      <c r="NBF25" s="84"/>
      <c r="NBG25" s="84"/>
      <c r="NBH25" s="84"/>
      <c r="NBI25" s="84"/>
      <c r="NBJ25" s="84"/>
      <c r="NBK25" s="84"/>
      <c r="NBL25" s="84"/>
      <c r="NBM25" s="84"/>
      <c r="NBN25" s="84"/>
      <c r="NBO25" s="84"/>
      <c r="NBP25" s="84"/>
      <c r="NBQ25" s="84"/>
      <c r="NBR25" s="84"/>
      <c r="NBS25" s="84"/>
      <c r="NBT25" s="84"/>
      <c r="NBU25" s="84"/>
      <c r="NBV25" s="84"/>
      <c r="NBW25" s="84"/>
      <c r="NBX25" s="84"/>
      <c r="NBY25" s="84"/>
      <c r="NBZ25" s="84"/>
      <c r="NCA25" s="84"/>
      <c r="NCB25" s="84"/>
      <c r="NCC25" s="84"/>
      <c r="NCD25" s="84"/>
      <c r="NCE25" s="84"/>
      <c r="NCF25" s="84"/>
      <c r="NCG25" s="84"/>
      <c r="NCH25" s="84"/>
      <c r="NCI25" s="84"/>
      <c r="NCJ25" s="84"/>
      <c r="NCK25" s="84"/>
      <c r="NCL25" s="84"/>
      <c r="NCM25" s="84"/>
      <c r="NCN25" s="84"/>
      <c r="NCO25" s="84"/>
      <c r="NCP25" s="84"/>
      <c r="NCQ25" s="84"/>
      <c r="NCR25" s="84"/>
      <c r="NCS25" s="84"/>
      <c r="NCT25" s="84"/>
      <c r="NCU25" s="84"/>
      <c r="NCV25" s="84"/>
      <c r="NCW25" s="84"/>
      <c r="NCX25" s="84"/>
      <c r="NCY25" s="84"/>
      <c r="NCZ25" s="84"/>
      <c r="NDA25" s="84"/>
      <c r="NDB25" s="84"/>
      <c r="NDC25" s="84"/>
      <c r="NDD25" s="84"/>
      <c r="NDE25" s="84"/>
      <c r="NDF25" s="84"/>
      <c r="NDG25" s="84"/>
      <c r="NDH25" s="84"/>
      <c r="NDI25" s="84"/>
      <c r="NDJ25" s="84"/>
      <c r="NDK25" s="84"/>
      <c r="NDL25" s="84"/>
      <c r="NDM25" s="84"/>
      <c r="NDN25" s="84"/>
      <c r="NDO25" s="84"/>
      <c r="NDP25" s="84"/>
      <c r="NDQ25" s="84"/>
      <c r="NDR25" s="84"/>
      <c r="NDS25" s="84"/>
      <c r="NDT25" s="84"/>
      <c r="NDU25" s="84"/>
      <c r="NDV25" s="84"/>
      <c r="NDW25" s="84"/>
      <c r="NDX25" s="84"/>
      <c r="NDY25" s="84"/>
      <c r="NDZ25" s="84"/>
      <c r="NEA25" s="84"/>
      <c r="NEB25" s="84"/>
      <c r="NEC25" s="84"/>
      <c r="NED25" s="84"/>
      <c r="NEE25" s="84"/>
      <c r="NEF25" s="84"/>
      <c r="NEG25" s="84"/>
      <c r="NEH25" s="84"/>
      <c r="NEI25" s="84"/>
      <c r="NEJ25" s="84"/>
      <c r="NEK25" s="84"/>
      <c r="NEL25" s="84"/>
      <c r="NEM25" s="84"/>
      <c r="NEN25" s="84"/>
      <c r="NEO25" s="84"/>
      <c r="NEP25" s="84"/>
      <c r="NEQ25" s="84"/>
      <c r="NER25" s="84"/>
      <c r="NES25" s="84"/>
      <c r="NET25" s="84"/>
      <c r="NEU25" s="84"/>
      <c r="NEV25" s="84"/>
      <c r="NEW25" s="84"/>
      <c r="NEX25" s="84"/>
      <c r="NEY25" s="84"/>
      <c r="NEZ25" s="84"/>
      <c r="NFA25" s="84"/>
      <c r="NFB25" s="84"/>
      <c r="NFC25" s="84"/>
      <c r="NFD25" s="84"/>
      <c r="NFE25" s="84"/>
      <c r="NFF25" s="84"/>
      <c r="NFG25" s="84"/>
      <c r="NFH25" s="84"/>
      <c r="NFI25" s="84"/>
      <c r="NFJ25" s="84"/>
      <c r="NFK25" s="84"/>
      <c r="NFL25" s="84"/>
      <c r="NFM25" s="84"/>
      <c r="NFN25" s="84"/>
      <c r="NFO25" s="84"/>
      <c r="NFP25" s="84"/>
      <c r="NFQ25" s="84"/>
      <c r="NFR25" s="84"/>
      <c r="NFS25" s="84"/>
      <c r="NFT25" s="84"/>
      <c r="NFU25" s="84"/>
      <c r="NFV25" s="84"/>
      <c r="NFW25" s="84"/>
      <c r="NFX25" s="84"/>
      <c r="NFY25" s="84"/>
      <c r="NFZ25" s="84"/>
      <c r="NGA25" s="84"/>
      <c r="NGB25" s="84"/>
      <c r="NGC25" s="84"/>
      <c r="NGD25" s="84"/>
      <c r="NGE25" s="84"/>
      <c r="NGF25" s="84"/>
      <c r="NGG25" s="84"/>
      <c r="NGH25" s="84"/>
      <c r="NGI25" s="84"/>
      <c r="NGJ25" s="84"/>
      <c r="NGK25" s="84"/>
      <c r="NGL25" s="84"/>
      <c r="NGM25" s="84"/>
      <c r="NGN25" s="84"/>
      <c r="NGO25" s="84"/>
      <c r="NGP25" s="84"/>
      <c r="NGQ25" s="84"/>
      <c r="NGR25" s="84"/>
      <c r="NGS25" s="84"/>
      <c r="NGT25" s="84"/>
      <c r="NGU25" s="84"/>
      <c r="NGV25" s="84"/>
      <c r="NGW25" s="84"/>
      <c r="NGX25" s="84"/>
      <c r="NGY25" s="84"/>
      <c r="NGZ25" s="84"/>
      <c r="NHA25" s="84"/>
      <c r="NHB25" s="84"/>
      <c r="NHC25" s="84"/>
      <c r="NHD25" s="84"/>
      <c r="NHE25" s="84"/>
      <c r="NHF25" s="84"/>
      <c r="NHG25" s="84"/>
      <c r="NHH25" s="84"/>
      <c r="NHI25" s="84"/>
      <c r="NHJ25" s="84"/>
      <c r="NHK25" s="84"/>
      <c r="NHL25" s="84"/>
      <c r="NHM25" s="84"/>
      <c r="NHN25" s="84"/>
      <c r="NHO25" s="84"/>
      <c r="NHP25" s="84"/>
      <c r="NHQ25" s="84"/>
      <c r="NHR25" s="84"/>
      <c r="NHS25" s="84"/>
      <c r="NHT25" s="84"/>
      <c r="NHU25" s="84"/>
      <c r="NHV25" s="84"/>
      <c r="NHW25" s="84"/>
      <c r="NHX25" s="84"/>
      <c r="NHY25" s="84"/>
      <c r="NHZ25" s="84"/>
      <c r="NIA25" s="84"/>
      <c r="NIB25" s="84"/>
      <c r="NIC25" s="84"/>
      <c r="NID25" s="84"/>
      <c r="NIE25" s="84"/>
      <c r="NIF25" s="84"/>
      <c r="NIG25" s="84"/>
      <c r="NIH25" s="84"/>
      <c r="NII25" s="84"/>
      <c r="NIJ25" s="84"/>
      <c r="NIK25" s="84"/>
      <c r="NIL25" s="84"/>
      <c r="NIM25" s="84"/>
      <c r="NIN25" s="84"/>
      <c r="NIO25" s="84"/>
      <c r="NIP25" s="84"/>
      <c r="NIQ25" s="84"/>
      <c r="NIR25" s="84"/>
      <c r="NIS25" s="84"/>
      <c r="NIT25" s="84"/>
      <c r="NIU25" s="84"/>
      <c r="NIV25" s="84"/>
      <c r="NIW25" s="84"/>
      <c r="NIX25" s="84"/>
      <c r="NIY25" s="84"/>
      <c r="NIZ25" s="84"/>
      <c r="NJA25" s="84"/>
      <c r="NJB25" s="84"/>
      <c r="NJC25" s="84"/>
      <c r="NJD25" s="84"/>
      <c r="NJE25" s="84"/>
      <c r="NJF25" s="84"/>
      <c r="NJG25" s="84"/>
      <c r="NJH25" s="84"/>
      <c r="NJI25" s="84"/>
      <c r="NJJ25" s="84"/>
      <c r="NJK25" s="84"/>
      <c r="NJL25" s="84"/>
      <c r="NJM25" s="84"/>
      <c r="NJN25" s="84"/>
      <c r="NJO25" s="84"/>
      <c r="NJP25" s="84"/>
      <c r="NJQ25" s="84"/>
      <c r="NJR25" s="84"/>
      <c r="NJS25" s="84"/>
      <c r="NJT25" s="84"/>
      <c r="NJU25" s="84"/>
      <c r="NJV25" s="84"/>
      <c r="NJW25" s="84"/>
      <c r="NJX25" s="84"/>
      <c r="NJY25" s="84"/>
      <c r="NJZ25" s="84"/>
      <c r="NKA25" s="84"/>
      <c r="NKB25" s="84"/>
      <c r="NKC25" s="84"/>
      <c r="NKD25" s="84"/>
      <c r="NKE25" s="84"/>
      <c r="NKF25" s="84"/>
      <c r="NKG25" s="84"/>
      <c r="NKH25" s="84"/>
      <c r="NKI25" s="84"/>
      <c r="NKJ25" s="84"/>
      <c r="NKK25" s="84"/>
      <c r="NKL25" s="84"/>
      <c r="NKM25" s="84"/>
      <c r="NKN25" s="84"/>
      <c r="NKO25" s="84"/>
      <c r="NKP25" s="84"/>
      <c r="NKQ25" s="84"/>
      <c r="NKR25" s="84"/>
      <c r="NKS25" s="84"/>
      <c r="NKT25" s="84"/>
      <c r="NKU25" s="84"/>
      <c r="NKV25" s="84"/>
      <c r="NKW25" s="84"/>
      <c r="NKX25" s="84"/>
      <c r="NKY25" s="84"/>
      <c r="NKZ25" s="84"/>
      <c r="NLA25" s="84"/>
      <c r="NLB25" s="84"/>
      <c r="NLC25" s="84"/>
      <c r="NLD25" s="84"/>
      <c r="NLE25" s="84"/>
      <c r="NLF25" s="84"/>
      <c r="NLG25" s="84"/>
      <c r="NLH25" s="84"/>
      <c r="NLI25" s="84"/>
      <c r="NLJ25" s="84"/>
      <c r="NLK25" s="84"/>
      <c r="NLL25" s="84"/>
      <c r="NLM25" s="84"/>
      <c r="NLN25" s="84"/>
      <c r="NLO25" s="84"/>
      <c r="NLP25" s="84"/>
      <c r="NLQ25" s="84"/>
      <c r="NLR25" s="84"/>
      <c r="NLS25" s="84"/>
      <c r="NLT25" s="84"/>
      <c r="NLU25" s="84"/>
      <c r="NLV25" s="84"/>
      <c r="NLW25" s="84"/>
      <c r="NLX25" s="84"/>
      <c r="NLY25" s="84"/>
      <c r="NLZ25" s="84"/>
      <c r="NMA25" s="84"/>
      <c r="NMB25" s="84"/>
      <c r="NMC25" s="84"/>
      <c r="NMD25" s="84"/>
      <c r="NME25" s="84"/>
      <c r="NMF25" s="84"/>
      <c r="NMG25" s="84"/>
      <c r="NMH25" s="84"/>
      <c r="NMI25" s="84"/>
      <c r="NMJ25" s="84"/>
      <c r="NMK25" s="84"/>
      <c r="NML25" s="84"/>
      <c r="NMM25" s="84"/>
      <c r="NMN25" s="84"/>
      <c r="NMO25" s="84"/>
      <c r="NMP25" s="84"/>
      <c r="NMQ25" s="84"/>
      <c r="NMR25" s="84"/>
      <c r="NMS25" s="84"/>
      <c r="NMT25" s="84"/>
      <c r="NMU25" s="84"/>
      <c r="NMV25" s="84"/>
      <c r="NMW25" s="84"/>
      <c r="NMX25" s="84"/>
      <c r="NMY25" s="84"/>
      <c r="NMZ25" s="84"/>
      <c r="NNA25" s="84"/>
      <c r="NNB25" s="84"/>
      <c r="NNC25" s="84"/>
      <c r="NND25" s="84"/>
      <c r="NNE25" s="84"/>
      <c r="NNF25" s="84"/>
      <c r="NNG25" s="84"/>
      <c r="NNH25" s="84"/>
      <c r="NNI25" s="84"/>
      <c r="NNJ25" s="84"/>
      <c r="NNK25" s="84"/>
      <c r="NNL25" s="84"/>
      <c r="NNM25" s="84"/>
      <c r="NNN25" s="84"/>
      <c r="NNO25" s="84"/>
      <c r="NNP25" s="84"/>
      <c r="NNQ25" s="84"/>
      <c r="NNR25" s="84"/>
      <c r="NNS25" s="84"/>
      <c r="NNT25" s="84"/>
      <c r="NNU25" s="84"/>
      <c r="NNV25" s="84"/>
      <c r="NNW25" s="84"/>
      <c r="NNX25" s="84"/>
      <c r="NNY25" s="84"/>
      <c r="NNZ25" s="84"/>
      <c r="NOA25" s="84"/>
      <c r="NOB25" s="84"/>
      <c r="NOC25" s="84"/>
      <c r="NOD25" s="84"/>
      <c r="NOE25" s="84"/>
      <c r="NOF25" s="84"/>
      <c r="NOG25" s="84"/>
      <c r="NOH25" s="84"/>
      <c r="NOI25" s="84"/>
      <c r="NOJ25" s="84"/>
      <c r="NOK25" s="84"/>
      <c r="NOL25" s="84"/>
      <c r="NOM25" s="84"/>
      <c r="NON25" s="84"/>
      <c r="NOO25" s="84"/>
      <c r="NOP25" s="84"/>
      <c r="NOQ25" s="84"/>
      <c r="NOR25" s="84"/>
      <c r="NOS25" s="84"/>
      <c r="NOT25" s="84"/>
      <c r="NOU25" s="84"/>
      <c r="NOV25" s="84"/>
      <c r="NOW25" s="84"/>
      <c r="NOX25" s="84"/>
      <c r="NOY25" s="84"/>
      <c r="NOZ25" s="84"/>
      <c r="NPA25" s="84"/>
      <c r="NPB25" s="84"/>
      <c r="NPC25" s="84"/>
      <c r="NPD25" s="84"/>
      <c r="NPE25" s="84"/>
      <c r="NPF25" s="84"/>
      <c r="NPG25" s="84"/>
      <c r="NPH25" s="84"/>
      <c r="NPI25" s="84"/>
      <c r="NPJ25" s="84"/>
      <c r="NPK25" s="84"/>
      <c r="NPL25" s="84"/>
      <c r="NPM25" s="84"/>
      <c r="NPN25" s="84"/>
      <c r="NPO25" s="84"/>
      <c r="NPP25" s="84"/>
      <c r="NPQ25" s="84"/>
      <c r="NPR25" s="84"/>
      <c r="NPS25" s="84"/>
      <c r="NPT25" s="84"/>
      <c r="NPU25" s="84"/>
      <c r="NPV25" s="84"/>
      <c r="NPW25" s="84"/>
      <c r="NPX25" s="84"/>
      <c r="NPY25" s="84"/>
      <c r="NPZ25" s="84"/>
      <c r="NQA25" s="84"/>
      <c r="NQB25" s="84"/>
      <c r="NQC25" s="84"/>
      <c r="NQD25" s="84"/>
      <c r="NQE25" s="84"/>
      <c r="NQF25" s="84"/>
      <c r="NQG25" s="84"/>
      <c r="NQH25" s="84"/>
      <c r="NQI25" s="84"/>
      <c r="NQJ25" s="84"/>
      <c r="NQK25" s="84"/>
      <c r="NQL25" s="84"/>
      <c r="NQM25" s="84"/>
      <c r="NQN25" s="84"/>
      <c r="NQO25" s="84"/>
      <c r="NQP25" s="84"/>
      <c r="NQQ25" s="84"/>
      <c r="NQR25" s="84"/>
      <c r="NQS25" s="84"/>
      <c r="NQT25" s="84"/>
      <c r="NQU25" s="84"/>
      <c r="NQV25" s="84"/>
      <c r="NQW25" s="84"/>
      <c r="NQX25" s="84"/>
      <c r="NQY25" s="84"/>
      <c r="NQZ25" s="84"/>
      <c r="NRA25" s="84"/>
      <c r="NRB25" s="84"/>
      <c r="NRC25" s="84"/>
      <c r="NRD25" s="84"/>
      <c r="NRE25" s="84"/>
      <c r="NRF25" s="84"/>
      <c r="NRG25" s="84"/>
      <c r="NRH25" s="84"/>
      <c r="NRI25" s="84"/>
      <c r="NRJ25" s="84"/>
      <c r="NRK25" s="84"/>
      <c r="NRL25" s="84"/>
      <c r="NRM25" s="84"/>
      <c r="NRN25" s="84"/>
      <c r="NRO25" s="84"/>
      <c r="NRP25" s="84"/>
      <c r="NRQ25" s="84"/>
      <c r="NRR25" s="84"/>
      <c r="NRS25" s="84"/>
      <c r="NRT25" s="84"/>
      <c r="NRU25" s="84"/>
      <c r="NRV25" s="84"/>
      <c r="NRW25" s="84"/>
      <c r="NRX25" s="84"/>
      <c r="NRY25" s="84"/>
      <c r="NRZ25" s="84"/>
      <c r="NSA25" s="84"/>
      <c r="NSB25" s="84"/>
      <c r="NSC25" s="84"/>
      <c r="NSD25" s="84"/>
      <c r="NSE25" s="84"/>
      <c r="NSF25" s="84"/>
      <c r="NSG25" s="84"/>
      <c r="NSH25" s="84"/>
      <c r="NSI25" s="84"/>
      <c r="NSJ25" s="84"/>
      <c r="NSK25" s="84"/>
      <c r="NSL25" s="84"/>
      <c r="NSM25" s="84"/>
      <c r="NSN25" s="84"/>
      <c r="NSO25" s="84"/>
      <c r="NSP25" s="84"/>
      <c r="NSQ25" s="84"/>
      <c r="NSR25" s="84"/>
      <c r="NSS25" s="84"/>
      <c r="NST25" s="84"/>
      <c r="NSU25" s="84"/>
      <c r="NSV25" s="84"/>
      <c r="NSW25" s="84"/>
      <c r="NSX25" s="84"/>
      <c r="NSY25" s="84"/>
      <c r="NSZ25" s="84"/>
      <c r="NTA25" s="84"/>
      <c r="NTB25" s="84"/>
      <c r="NTC25" s="84"/>
      <c r="NTD25" s="84"/>
      <c r="NTE25" s="84"/>
      <c r="NTF25" s="84"/>
      <c r="NTG25" s="84"/>
      <c r="NTH25" s="84"/>
      <c r="NTI25" s="84"/>
      <c r="NTJ25" s="84"/>
      <c r="NTK25" s="84"/>
      <c r="NTL25" s="84"/>
      <c r="NTM25" s="84"/>
      <c r="NTN25" s="84"/>
      <c r="NTO25" s="84"/>
      <c r="NTP25" s="84"/>
      <c r="NTQ25" s="84"/>
      <c r="NTR25" s="84"/>
      <c r="NTS25" s="84"/>
      <c r="NTT25" s="84"/>
      <c r="NTU25" s="84"/>
      <c r="NTV25" s="84"/>
      <c r="NTW25" s="84"/>
      <c r="NTX25" s="84"/>
      <c r="NTY25" s="84"/>
      <c r="NTZ25" s="84"/>
      <c r="NUA25" s="84"/>
      <c r="NUB25" s="84"/>
      <c r="NUC25" s="84"/>
      <c r="NUD25" s="84"/>
      <c r="NUE25" s="84"/>
      <c r="NUF25" s="84"/>
      <c r="NUG25" s="84"/>
      <c r="NUH25" s="84"/>
      <c r="NUI25" s="84"/>
      <c r="NUJ25" s="84"/>
      <c r="NUK25" s="84"/>
      <c r="NUL25" s="84"/>
      <c r="NUM25" s="84"/>
      <c r="NUN25" s="84"/>
      <c r="NUO25" s="84"/>
      <c r="NUP25" s="84"/>
      <c r="NUQ25" s="84"/>
      <c r="NUR25" s="84"/>
      <c r="NUS25" s="84"/>
      <c r="NUT25" s="84"/>
      <c r="NUU25" s="84"/>
      <c r="NUV25" s="84"/>
      <c r="NUW25" s="84"/>
      <c r="NUX25" s="84"/>
      <c r="NUY25" s="84"/>
      <c r="NUZ25" s="84"/>
      <c r="NVA25" s="84"/>
      <c r="NVB25" s="84"/>
      <c r="NVC25" s="84"/>
      <c r="NVD25" s="84"/>
      <c r="NVE25" s="84"/>
      <c r="NVF25" s="84"/>
      <c r="NVG25" s="84"/>
      <c r="NVH25" s="84"/>
      <c r="NVI25" s="84"/>
      <c r="NVJ25" s="84"/>
      <c r="NVK25" s="84"/>
      <c r="NVL25" s="84"/>
      <c r="NVM25" s="84"/>
      <c r="NVN25" s="84"/>
      <c r="NVO25" s="84"/>
      <c r="NVP25" s="84"/>
      <c r="NVQ25" s="84"/>
      <c r="NVR25" s="84"/>
      <c r="NVS25" s="84"/>
      <c r="NVT25" s="84"/>
      <c r="NVU25" s="84"/>
      <c r="NVV25" s="84"/>
      <c r="NVW25" s="84"/>
      <c r="NVX25" s="84"/>
      <c r="NVY25" s="84"/>
      <c r="NVZ25" s="84"/>
      <c r="NWA25" s="84"/>
      <c r="NWB25" s="84"/>
      <c r="NWC25" s="84"/>
      <c r="NWD25" s="84"/>
      <c r="NWE25" s="84"/>
      <c r="NWF25" s="84"/>
      <c r="NWG25" s="84"/>
      <c r="NWH25" s="84"/>
      <c r="NWI25" s="84"/>
      <c r="NWJ25" s="84"/>
      <c r="NWK25" s="84"/>
      <c r="NWL25" s="84"/>
      <c r="NWM25" s="84"/>
      <c r="NWN25" s="84"/>
      <c r="NWO25" s="84"/>
      <c r="NWP25" s="84"/>
      <c r="NWQ25" s="84"/>
      <c r="NWR25" s="84"/>
      <c r="NWS25" s="84"/>
      <c r="NWT25" s="84"/>
      <c r="NWU25" s="84"/>
      <c r="NWV25" s="84"/>
      <c r="NWW25" s="84"/>
      <c r="NWX25" s="84"/>
      <c r="NWY25" s="84"/>
      <c r="NWZ25" s="84"/>
      <c r="NXA25" s="84"/>
      <c r="NXB25" s="84"/>
      <c r="NXC25" s="84"/>
      <c r="NXD25" s="84"/>
      <c r="NXE25" s="84"/>
      <c r="NXF25" s="84"/>
      <c r="NXG25" s="84"/>
      <c r="NXH25" s="84"/>
      <c r="NXI25" s="84"/>
      <c r="NXJ25" s="84"/>
      <c r="NXK25" s="84"/>
      <c r="NXL25" s="84"/>
      <c r="NXM25" s="84"/>
      <c r="NXN25" s="84"/>
      <c r="NXO25" s="84"/>
      <c r="NXP25" s="84"/>
      <c r="NXQ25" s="84"/>
      <c r="NXR25" s="84"/>
      <c r="NXS25" s="84"/>
      <c r="NXT25" s="84"/>
      <c r="NXU25" s="84"/>
      <c r="NXV25" s="84"/>
      <c r="NXW25" s="84"/>
      <c r="NXX25" s="84"/>
      <c r="NXY25" s="84"/>
      <c r="NXZ25" s="84"/>
      <c r="NYA25" s="84"/>
      <c r="NYB25" s="84"/>
      <c r="NYC25" s="84"/>
      <c r="NYD25" s="84"/>
      <c r="NYE25" s="84"/>
      <c r="NYF25" s="84"/>
      <c r="NYG25" s="84"/>
      <c r="NYH25" s="84"/>
      <c r="NYI25" s="84"/>
      <c r="NYJ25" s="84"/>
      <c r="NYK25" s="84"/>
      <c r="NYL25" s="84"/>
      <c r="NYM25" s="84"/>
      <c r="NYN25" s="84"/>
      <c r="NYO25" s="84"/>
      <c r="NYP25" s="84"/>
      <c r="NYQ25" s="84"/>
      <c r="NYR25" s="84"/>
      <c r="NYS25" s="84"/>
      <c r="NYT25" s="84"/>
      <c r="NYU25" s="84"/>
      <c r="NYV25" s="84"/>
      <c r="NYW25" s="84"/>
      <c r="NYX25" s="84"/>
      <c r="NYY25" s="84"/>
      <c r="NYZ25" s="84"/>
      <c r="NZA25" s="84"/>
      <c r="NZB25" s="84"/>
      <c r="NZC25" s="84"/>
      <c r="NZD25" s="84"/>
      <c r="NZE25" s="84"/>
      <c r="NZF25" s="84"/>
      <c r="NZG25" s="84"/>
      <c r="NZH25" s="84"/>
      <c r="NZI25" s="84"/>
      <c r="NZJ25" s="84"/>
      <c r="NZK25" s="84"/>
      <c r="NZL25" s="84"/>
      <c r="NZM25" s="84"/>
      <c r="NZN25" s="84"/>
      <c r="NZO25" s="84"/>
      <c r="NZP25" s="84"/>
      <c r="NZQ25" s="84"/>
      <c r="NZR25" s="84"/>
      <c r="NZS25" s="84"/>
      <c r="NZT25" s="84"/>
      <c r="NZU25" s="84"/>
      <c r="NZV25" s="84"/>
      <c r="NZW25" s="84"/>
      <c r="NZX25" s="84"/>
      <c r="NZY25" s="84"/>
      <c r="NZZ25" s="84"/>
      <c r="OAA25" s="84"/>
      <c r="OAB25" s="84"/>
      <c r="OAC25" s="84"/>
      <c r="OAD25" s="84"/>
      <c r="OAE25" s="84"/>
      <c r="OAF25" s="84"/>
      <c r="OAG25" s="84"/>
      <c r="OAH25" s="84"/>
      <c r="OAI25" s="84"/>
      <c r="OAJ25" s="84"/>
      <c r="OAK25" s="84"/>
      <c r="OAL25" s="84"/>
      <c r="OAM25" s="84"/>
      <c r="OAN25" s="84"/>
      <c r="OAO25" s="84"/>
      <c r="OAP25" s="84"/>
      <c r="OAQ25" s="84"/>
      <c r="OAR25" s="84"/>
      <c r="OAS25" s="84"/>
      <c r="OAT25" s="84"/>
      <c r="OAU25" s="84"/>
      <c r="OAV25" s="84"/>
      <c r="OAW25" s="84"/>
      <c r="OAX25" s="84"/>
      <c r="OAY25" s="84"/>
      <c r="OAZ25" s="84"/>
      <c r="OBA25" s="84"/>
      <c r="OBB25" s="84"/>
      <c r="OBC25" s="84"/>
      <c r="OBD25" s="84"/>
      <c r="OBE25" s="84"/>
      <c r="OBF25" s="84"/>
      <c r="OBG25" s="84"/>
      <c r="OBH25" s="84"/>
      <c r="OBI25" s="84"/>
      <c r="OBJ25" s="84"/>
      <c r="OBK25" s="84"/>
      <c r="OBL25" s="84"/>
      <c r="OBM25" s="84"/>
      <c r="OBN25" s="84"/>
      <c r="OBO25" s="84"/>
      <c r="OBP25" s="84"/>
      <c r="OBQ25" s="84"/>
      <c r="OBR25" s="84"/>
      <c r="OBS25" s="84"/>
      <c r="OBT25" s="84"/>
      <c r="OBU25" s="84"/>
      <c r="OBV25" s="84"/>
      <c r="OBW25" s="84"/>
      <c r="OBX25" s="84"/>
      <c r="OBY25" s="84"/>
      <c r="OBZ25" s="84"/>
      <c r="OCA25" s="84"/>
      <c r="OCB25" s="84"/>
      <c r="OCC25" s="84"/>
      <c r="OCD25" s="84"/>
      <c r="OCE25" s="84"/>
      <c r="OCF25" s="84"/>
      <c r="OCG25" s="84"/>
      <c r="OCH25" s="84"/>
      <c r="OCI25" s="84"/>
      <c r="OCJ25" s="84"/>
      <c r="OCK25" s="84"/>
      <c r="OCL25" s="84"/>
      <c r="OCM25" s="84"/>
      <c r="OCN25" s="84"/>
      <c r="OCO25" s="84"/>
      <c r="OCP25" s="84"/>
      <c r="OCQ25" s="84"/>
      <c r="OCR25" s="84"/>
      <c r="OCS25" s="84"/>
      <c r="OCT25" s="84"/>
      <c r="OCU25" s="84"/>
      <c r="OCV25" s="84"/>
      <c r="OCW25" s="84"/>
      <c r="OCX25" s="84"/>
      <c r="OCY25" s="84"/>
      <c r="OCZ25" s="84"/>
      <c r="ODA25" s="84"/>
      <c r="ODB25" s="84"/>
      <c r="ODC25" s="84"/>
      <c r="ODD25" s="84"/>
      <c r="ODE25" s="84"/>
      <c r="ODF25" s="84"/>
      <c r="ODG25" s="84"/>
      <c r="ODH25" s="84"/>
      <c r="ODI25" s="84"/>
      <c r="ODJ25" s="84"/>
      <c r="ODK25" s="84"/>
      <c r="ODL25" s="84"/>
      <c r="ODM25" s="84"/>
      <c r="ODN25" s="84"/>
      <c r="ODO25" s="84"/>
      <c r="ODP25" s="84"/>
      <c r="ODQ25" s="84"/>
      <c r="ODR25" s="84"/>
      <c r="ODS25" s="84"/>
      <c r="ODT25" s="84"/>
      <c r="ODU25" s="84"/>
      <c r="ODV25" s="84"/>
      <c r="ODW25" s="84"/>
      <c r="ODX25" s="84"/>
      <c r="ODY25" s="84"/>
      <c r="ODZ25" s="84"/>
      <c r="OEA25" s="84"/>
      <c r="OEB25" s="84"/>
      <c r="OEC25" s="84"/>
      <c r="OED25" s="84"/>
      <c r="OEE25" s="84"/>
      <c r="OEF25" s="84"/>
      <c r="OEG25" s="84"/>
      <c r="OEH25" s="84"/>
      <c r="OEI25" s="84"/>
      <c r="OEJ25" s="84"/>
      <c r="OEK25" s="84"/>
      <c r="OEL25" s="84"/>
      <c r="OEM25" s="84"/>
      <c r="OEN25" s="84"/>
      <c r="OEO25" s="84"/>
      <c r="OEP25" s="84"/>
      <c r="OEQ25" s="84"/>
      <c r="OER25" s="84"/>
      <c r="OES25" s="84"/>
      <c r="OET25" s="84"/>
      <c r="OEU25" s="84"/>
      <c r="OEV25" s="84"/>
      <c r="OEW25" s="84"/>
      <c r="OEX25" s="84"/>
      <c r="OEY25" s="84"/>
      <c r="OEZ25" s="84"/>
      <c r="OFA25" s="84"/>
      <c r="OFB25" s="84"/>
      <c r="OFC25" s="84"/>
      <c r="OFD25" s="84"/>
      <c r="OFE25" s="84"/>
      <c r="OFF25" s="84"/>
      <c r="OFG25" s="84"/>
      <c r="OFH25" s="84"/>
      <c r="OFI25" s="84"/>
      <c r="OFJ25" s="84"/>
      <c r="OFK25" s="84"/>
      <c r="OFL25" s="84"/>
      <c r="OFM25" s="84"/>
      <c r="OFN25" s="84"/>
      <c r="OFO25" s="84"/>
      <c r="OFP25" s="84"/>
      <c r="OFQ25" s="84"/>
      <c r="OFR25" s="84"/>
      <c r="OFS25" s="84"/>
      <c r="OFT25" s="84"/>
      <c r="OFU25" s="84"/>
      <c r="OFV25" s="84"/>
      <c r="OFW25" s="84"/>
      <c r="OFX25" s="84"/>
      <c r="OFY25" s="84"/>
      <c r="OFZ25" s="84"/>
      <c r="OGA25" s="84"/>
      <c r="OGB25" s="84"/>
      <c r="OGC25" s="84"/>
      <c r="OGD25" s="84"/>
      <c r="OGE25" s="84"/>
      <c r="OGF25" s="84"/>
      <c r="OGG25" s="84"/>
      <c r="OGH25" s="84"/>
      <c r="OGI25" s="84"/>
      <c r="OGJ25" s="84"/>
      <c r="OGK25" s="84"/>
      <c r="OGL25" s="84"/>
      <c r="OGM25" s="84"/>
      <c r="OGN25" s="84"/>
      <c r="OGO25" s="84"/>
      <c r="OGP25" s="84"/>
      <c r="OGQ25" s="84"/>
      <c r="OGR25" s="84"/>
      <c r="OGS25" s="84"/>
      <c r="OGT25" s="84"/>
      <c r="OGU25" s="84"/>
      <c r="OGV25" s="84"/>
      <c r="OGW25" s="84"/>
      <c r="OGX25" s="84"/>
      <c r="OGY25" s="84"/>
      <c r="OGZ25" s="84"/>
      <c r="OHA25" s="84"/>
      <c r="OHB25" s="84"/>
      <c r="OHC25" s="84"/>
      <c r="OHD25" s="84"/>
      <c r="OHE25" s="84"/>
      <c r="OHF25" s="84"/>
      <c r="OHG25" s="84"/>
      <c r="OHH25" s="84"/>
      <c r="OHI25" s="84"/>
      <c r="OHJ25" s="84"/>
      <c r="OHK25" s="84"/>
      <c r="OHL25" s="84"/>
      <c r="OHM25" s="84"/>
      <c r="OHN25" s="84"/>
      <c r="OHO25" s="84"/>
      <c r="OHP25" s="84"/>
      <c r="OHQ25" s="84"/>
      <c r="OHR25" s="84"/>
      <c r="OHS25" s="84"/>
      <c r="OHT25" s="84"/>
      <c r="OHU25" s="84"/>
      <c r="OHV25" s="84"/>
      <c r="OHW25" s="84"/>
      <c r="OHX25" s="84"/>
      <c r="OHY25" s="84"/>
      <c r="OHZ25" s="84"/>
      <c r="OIA25" s="84"/>
      <c r="OIB25" s="84"/>
      <c r="OIC25" s="84"/>
      <c r="OID25" s="84"/>
      <c r="OIE25" s="84"/>
      <c r="OIF25" s="84"/>
      <c r="OIG25" s="84"/>
      <c r="OIH25" s="84"/>
      <c r="OII25" s="84"/>
      <c r="OIJ25" s="84"/>
      <c r="OIK25" s="84"/>
      <c r="OIL25" s="84"/>
      <c r="OIM25" s="84"/>
      <c r="OIN25" s="84"/>
      <c r="OIO25" s="84"/>
      <c r="OIP25" s="84"/>
      <c r="OIQ25" s="84"/>
      <c r="OIR25" s="84"/>
      <c r="OIS25" s="84"/>
      <c r="OIT25" s="84"/>
      <c r="OIU25" s="84"/>
      <c r="OIV25" s="84"/>
      <c r="OIW25" s="84"/>
      <c r="OIX25" s="84"/>
      <c r="OIY25" s="84"/>
      <c r="OIZ25" s="84"/>
      <c r="OJA25" s="84"/>
      <c r="OJB25" s="84"/>
      <c r="OJC25" s="84"/>
      <c r="OJD25" s="84"/>
      <c r="OJE25" s="84"/>
      <c r="OJF25" s="84"/>
      <c r="OJG25" s="84"/>
      <c r="OJH25" s="84"/>
      <c r="OJI25" s="84"/>
      <c r="OJJ25" s="84"/>
      <c r="OJK25" s="84"/>
      <c r="OJL25" s="84"/>
      <c r="OJM25" s="84"/>
      <c r="OJN25" s="84"/>
      <c r="OJO25" s="84"/>
      <c r="OJP25" s="84"/>
      <c r="OJQ25" s="84"/>
      <c r="OJR25" s="84"/>
      <c r="OJS25" s="84"/>
      <c r="OJT25" s="84"/>
      <c r="OJU25" s="84"/>
      <c r="OJV25" s="84"/>
      <c r="OJW25" s="84"/>
      <c r="OJX25" s="84"/>
      <c r="OJY25" s="84"/>
      <c r="OJZ25" s="84"/>
      <c r="OKA25" s="84"/>
      <c r="OKB25" s="84"/>
      <c r="OKC25" s="84"/>
      <c r="OKD25" s="84"/>
      <c r="OKE25" s="84"/>
      <c r="OKF25" s="84"/>
      <c r="OKG25" s="84"/>
      <c r="OKH25" s="84"/>
      <c r="OKI25" s="84"/>
      <c r="OKJ25" s="84"/>
      <c r="OKK25" s="84"/>
      <c r="OKL25" s="84"/>
      <c r="OKM25" s="84"/>
      <c r="OKN25" s="84"/>
      <c r="OKO25" s="84"/>
      <c r="OKP25" s="84"/>
      <c r="OKQ25" s="84"/>
      <c r="OKR25" s="84"/>
      <c r="OKS25" s="84"/>
      <c r="OKT25" s="84"/>
      <c r="OKU25" s="84"/>
      <c r="OKV25" s="84"/>
      <c r="OKW25" s="84"/>
      <c r="OKX25" s="84"/>
      <c r="OKY25" s="84"/>
      <c r="OKZ25" s="84"/>
      <c r="OLA25" s="84"/>
      <c r="OLB25" s="84"/>
      <c r="OLC25" s="84"/>
      <c r="OLD25" s="84"/>
      <c r="OLE25" s="84"/>
      <c r="OLF25" s="84"/>
      <c r="OLG25" s="84"/>
      <c r="OLH25" s="84"/>
      <c r="OLI25" s="84"/>
      <c r="OLJ25" s="84"/>
      <c r="OLK25" s="84"/>
      <c r="OLL25" s="84"/>
      <c r="OLM25" s="84"/>
      <c r="OLN25" s="84"/>
      <c r="OLO25" s="84"/>
      <c r="OLP25" s="84"/>
      <c r="OLQ25" s="84"/>
      <c r="OLR25" s="84"/>
      <c r="OLS25" s="84"/>
      <c r="OLT25" s="84"/>
      <c r="OLU25" s="84"/>
      <c r="OLV25" s="84"/>
      <c r="OLW25" s="84"/>
      <c r="OLX25" s="84"/>
      <c r="OLY25" s="84"/>
      <c r="OLZ25" s="84"/>
      <c r="OMA25" s="84"/>
      <c r="OMB25" s="84"/>
      <c r="OMC25" s="84"/>
      <c r="OMD25" s="84"/>
      <c r="OME25" s="84"/>
      <c r="OMF25" s="84"/>
      <c r="OMG25" s="84"/>
      <c r="OMH25" s="84"/>
      <c r="OMI25" s="84"/>
      <c r="OMJ25" s="84"/>
      <c r="OMK25" s="84"/>
      <c r="OML25" s="84"/>
      <c r="OMM25" s="84"/>
      <c r="OMN25" s="84"/>
      <c r="OMO25" s="84"/>
      <c r="OMP25" s="84"/>
      <c r="OMQ25" s="84"/>
      <c r="OMR25" s="84"/>
      <c r="OMS25" s="84"/>
      <c r="OMT25" s="84"/>
      <c r="OMU25" s="84"/>
      <c r="OMV25" s="84"/>
      <c r="OMW25" s="84"/>
      <c r="OMX25" s="84"/>
      <c r="OMY25" s="84"/>
      <c r="OMZ25" s="84"/>
      <c r="ONA25" s="84"/>
      <c r="ONB25" s="84"/>
      <c r="ONC25" s="84"/>
      <c r="OND25" s="84"/>
      <c r="ONE25" s="84"/>
      <c r="ONF25" s="84"/>
      <c r="ONG25" s="84"/>
      <c r="ONH25" s="84"/>
      <c r="ONI25" s="84"/>
      <c r="ONJ25" s="84"/>
      <c r="ONK25" s="84"/>
      <c r="ONL25" s="84"/>
      <c r="ONM25" s="84"/>
      <c r="ONN25" s="84"/>
      <c r="ONO25" s="84"/>
      <c r="ONP25" s="84"/>
      <c r="ONQ25" s="84"/>
      <c r="ONR25" s="84"/>
      <c r="ONS25" s="84"/>
      <c r="ONT25" s="84"/>
      <c r="ONU25" s="84"/>
      <c r="ONV25" s="84"/>
      <c r="ONW25" s="84"/>
      <c r="ONX25" s="84"/>
      <c r="ONY25" s="84"/>
      <c r="ONZ25" s="84"/>
      <c r="OOA25" s="84"/>
      <c r="OOB25" s="84"/>
      <c r="OOC25" s="84"/>
      <c r="OOD25" s="84"/>
      <c r="OOE25" s="84"/>
      <c r="OOF25" s="84"/>
      <c r="OOG25" s="84"/>
      <c r="OOH25" s="84"/>
      <c r="OOI25" s="84"/>
      <c r="OOJ25" s="84"/>
      <c r="OOK25" s="84"/>
      <c r="OOL25" s="84"/>
      <c r="OOM25" s="84"/>
      <c r="OON25" s="84"/>
      <c r="OOO25" s="84"/>
      <c r="OOP25" s="84"/>
      <c r="OOQ25" s="84"/>
      <c r="OOR25" s="84"/>
      <c r="OOS25" s="84"/>
      <c r="OOT25" s="84"/>
      <c r="OOU25" s="84"/>
      <c r="OOV25" s="84"/>
      <c r="OOW25" s="84"/>
      <c r="OOX25" s="84"/>
      <c r="OOY25" s="84"/>
      <c r="OOZ25" s="84"/>
      <c r="OPA25" s="84"/>
      <c r="OPB25" s="84"/>
      <c r="OPC25" s="84"/>
      <c r="OPD25" s="84"/>
      <c r="OPE25" s="84"/>
      <c r="OPF25" s="84"/>
      <c r="OPG25" s="84"/>
      <c r="OPH25" s="84"/>
      <c r="OPI25" s="84"/>
      <c r="OPJ25" s="84"/>
      <c r="OPK25" s="84"/>
      <c r="OPL25" s="84"/>
      <c r="OPM25" s="84"/>
      <c r="OPN25" s="84"/>
      <c r="OPO25" s="84"/>
      <c r="OPP25" s="84"/>
      <c r="OPQ25" s="84"/>
      <c r="OPR25" s="84"/>
      <c r="OPS25" s="84"/>
      <c r="OPT25" s="84"/>
      <c r="OPU25" s="84"/>
      <c r="OPV25" s="84"/>
      <c r="OPW25" s="84"/>
      <c r="OPX25" s="84"/>
      <c r="OPY25" s="84"/>
      <c r="OPZ25" s="84"/>
      <c r="OQA25" s="84"/>
      <c r="OQB25" s="84"/>
      <c r="OQC25" s="84"/>
      <c r="OQD25" s="84"/>
      <c r="OQE25" s="84"/>
      <c r="OQF25" s="84"/>
      <c r="OQG25" s="84"/>
      <c r="OQH25" s="84"/>
      <c r="OQI25" s="84"/>
      <c r="OQJ25" s="84"/>
      <c r="OQK25" s="84"/>
      <c r="OQL25" s="84"/>
      <c r="OQM25" s="84"/>
      <c r="OQN25" s="84"/>
      <c r="OQO25" s="84"/>
      <c r="OQP25" s="84"/>
      <c r="OQQ25" s="84"/>
      <c r="OQR25" s="84"/>
      <c r="OQS25" s="84"/>
      <c r="OQT25" s="84"/>
      <c r="OQU25" s="84"/>
      <c r="OQV25" s="84"/>
      <c r="OQW25" s="84"/>
      <c r="OQX25" s="84"/>
      <c r="OQY25" s="84"/>
      <c r="OQZ25" s="84"/>
      <c r="ORA25" s="84"/>
      <c r="ORB25" s="84"/>
      <c r="ORC25" s="84"/>
      <c r="ORD25" s="84"/>
      <c r="ORE25" s="84"/>
      <c r="ORF25" s="84"/>
      <c r="ORG25" s="84"/>
      <c r="ORH25" s="84"/>
      <c r="ORI25" s="84"/>
      <c r="ORJ25" s="84"/>
      <c r="ORK25" s="84"/>
      <c r="ORL25" s="84"/>
      <c r="ORM25" s="84"/>
      <c r="ORN25" s="84"/>
      <c r="ORO25" s="84"/>
      <c r="ORP25" s="84"/>
      <c r="ORQ25" s="84"/>
      <c r="ORR25" s="84"/>
      <c r="ORS25" s="84"/>
      <c r="ORT25" s="84"/>
      <c r="ORU25" s="84"/>
      <c r="ORV25" s="84"/>
      <c r="ORW25" s="84"/>
      <c r="ORX25" s="84"/>
      <c r="ORY25" s="84"/>
      <c r="ORZ25" s="84"/>
      <c r="OSA25" s="84"/>
      <c r="OSB25" s="84"/>
      <c r="OSC25" s="84"/>
      <c r="OSD25" s="84"/>
      <c r="OSE25" s="84"/>
      <c r="OSF25" s="84"/>
      <c r="OSG25" s="84"/>
      <c r="OSH25" s="84"/>
      <c r="OSI25" s="84"/>
      <c r="OSJ25" s="84"/>
      <c r="OSK25" s="84"/>
      <c r="OSL25" s="84"/>
      <c r="OSM25" s="84"/>
      <c r="OSN25" s="84"/>
      <c r="OSO25" s="84"/>
      <c r="OSP25" s="84"/>
      <c r="OSQ25" s="84"/>
      <c r="OSR25" s="84"/>
      <c r="OSS25" s="84"/>
      <c r="OST25" s="84"/>
      <c r="OSU25" s="84"/>
      <c r="OSV25" s="84"/>
      <c r="OSW25" s="84"/>
      <c r="OSX25" s="84"/>
      <c r="OSY25" s="84"/>
      <c r="OSZ25" s="84"/>
      <c r="OTA25" s="84"/>
      <c r="OTB25" s="84"/>
      <c r="OTC25" s="84"/>
      <c r="OTD25" s="84"/>
      <c r="OTE25" s="84"/>
      <c r="OTF25" s="84"/>
      <c r="OTG25" s="84"/>
      <c r="OTH25" s="84"/>
      <c r="OTI25" s="84"/>
      <c r="OTJ25" s="84"/>
      <c r="OTK25" s="84"/>
      <c r="OTL25" s="84"/>
      <c r="OTM25" s="84"/>
      <c r="OTN25" s="84"/>
      <c r="OTO25" s="84"/>
      <c r="OTP25" s="84"/>
      <c r="OTQ25" s="84"/>
      <c r="OTR25" s="84"/>
      <c r="OTS25" s="84"/>
      <c r="OTT25" s="84"/>
      <c r="OTU25" s="84"/>
      <c r="OTV25" s="84"/>
      <c r="OTW25" s="84"/>
      <c r="OTX25" s="84"/>
      <c r="OTY25" s="84"/>
      <c r="OTZ25" s="84"/>
      <c r="OUA25" s="84"/>
      <c r="OUB25" s="84"/>
      <c r="OUC25" s="84"/>
      <c r="OUD25" s="84"/>
      <c r="OUE25" s="84"/>
      <c r="OUF25" s="84"/>
      <c r="OUG25" s="84"/>
      <c r="OUH25" s="84"/>
      <c r="OUI25" s="84"/>
      <c r="OUJ25" s="84"/>
      <c r="OUK25" s="84"/>
      <c r="OUL25" s="84"/>
      <c r="OUM25" s="84"/>
      <c r="OUN25" s="84"/>
      <c r="OUO25" s="84"/>
      <c r="OUP25" s="84"/>
      <c r="OUQ25" s="84"/>
      <c r="OUR25" s="84"/>
      <c r="OUS25" s="84"/>
      <c r="OUT25" s="84"/>
      <c r="OUU25" s="84"/>
      <c r="OUV25" s="84"/>
      <c r="OUW25" s="84"/>
      <c r="OUX25" s="84"/>
      <c r="OUY25" s="84"/>
      <c r="OUZ25" s="84"/>
      <c r="OVA25" s="84"/>
      <c r="OVB25" s="84"/>
      <c r="OVC25" s="84"/>
      <c r="OVD25" s="84"/>
      <c r="OVE25" s="84"/>
      <c r="OVF25" s="84"/>
      <c r="OVG25" s="84"/>
      <c r="OVH25" s="84"/>
      <c r="OVI25" s="84"/>
      <c r="OVJ25" s="84"/>
      <c r="OVK25" s="84"/>
      <c r="OVL25" s="84"/>
      <c r="OVM25" s="84"/>
      <c r="OVN25" s="84"/>
      <c r="OVO25" s="84"/>
      <c r="OVP25" s="84"/>
      <c r="OVQ25" s="84"/>
      <c r="OVR25" s="84"/>
      <c r="OVS25" s="84"/>
      <c r="OVT25" s="84"/>
      <c r="OVU25" s="84"/>
      <c r="OVV25" s="84"/>
      <c r="OVW25" s="84"/>
      <c r="OVX25" s="84"/>
      <c r="OVY25" s="84"/>
      <c r="OVZ25" s="84"/>
      <c r="OWA25" s="84"/>
      <c r="OWB25" s="84"/>
      <c r="OWC25" s="84"/>
      <c r="OWD25" s="84"/>
      <c r="OWE25" s="84"/>
      <c r="OWF25" s="84"/>
      <c r="OWG25" s="84"/>
      <c r="OWH25" s="84"/>
      <c r="OWI25" s="84"/>
      <c r="OWJ25" s="84"/>
      <c r="OWK25" s="84"/>
      <c r="OWL25" s="84"/>
      <c r="OWM25" s="84"/>
      <c r="OWN25" s="84"/>
      <c r="OWO25" s="84"/>
      <c r="OWP25" s="84"/>
      <c r="OWQ25" s="84"/>
      <c r="OWR25" s="84"/>
      <c r="OWS25" s="84"/>
      <c r="OWT25" s="84"/>
      <c r="OWU25" s="84"/>
      <c r="OWV25" s="84"/>
      <c r="OWW25" s="84"/>
      <c r="OWX25" s="84"/>
      <c r="OWY25" s="84"/>
      <c r="OWZ25" s="84"/>
      <c r="OXA25" s="84"/>
      <c r="OXB25" s="84"/>
      <c r="OXC25" s="84"/>
      <c r="OXD25" s="84"/>
      <c r="OXE25" s="84"/>
      <c r="OXF25" s="84"/>
      <c r="OXG25" s="84"/>
      <c r="OXH25" s="84"/>
      <c r="OXI25" s="84"/>
      <c r="OXJ25" s="84"/>
      <c r="OXK25" s="84"/>
      <c r="OXL25" s="84"/>
      <c r="OXM25" s="84"/>
      <c r="OXN25" s="84"/>
      <c r="OXO25" s="84"/>
      <c r="OXP25" s="84"/>
      <c r="OXQ25" s="84"/>
      <c r="OXR25" s="84"/>
      <c r="OXS25" s="84"/>
      <c r="OXT25" s="84"/>
      <c r="OXU25" s="84"/>
      <c r="OXV25" s="84"/>
      <c r="OXW25" s="84"/>
      <c r="OXX25" s="84"/>
      <c r="OXY25" s="84"/>
      <c r="OXZ25" s="84"/>
      <c r="OYA25" s="84"/>
      <c r="OYB25" s="84"/>
      <c r="OYC25" s="84"/>
      <c r="OYD25" s="84"/>
      <c r="OYE25" s="84"/>
      <c r="OYF25" s="84"/>
      <c r="OYG25" s="84"/>
      <c r="OYH25" s="84"/>
      <c r="OYI25" s="84"/>
      <c r="OYJ25" s="84"/>
      <c r="OYK25" s="84"/>
      <c r="OYL25" s="84"/>
      <c r="OYM25" s="84"/>
      <c r="OYN25" s="84"/>
      <c r="OYO25" s="84"/>
      <c r="OYP25" s="84"/>
      <c r="OYQ25" s="84"/>
      <c r="OYR25" s="84"/>
      <c r="OYS25" s="84"/>
      <c r="OYT25" s="84"/>
      <c r="OYU25" s="84"/>
      <c r="OYV25" s="84"/>
      <c r="OYW25" s="84"/>
      <c r="OYX25" s="84"/>
      <c r="OYY25" s="84"/>
      <c r="OYZ25" s="84"/>
      <c r="OZA25" s="84"/>
      <c r="OZB25" s="84"/>
      <c r="OZC25" s="84"/>
      <c r="OZD25" s="84"/>
      <c r="OZE25" s="84"/>
      <c r="OZF25" s="84"/>
      <c r="OZG25" s="84"/>
      <c r="OZH25" s="84"/>
      <c r="OZI25" s="84"/>
      <c r="OZJ25" s="84"/>
      <c r="OZK25" s="84"/>
      <c r="OZL25" s="84"/>
      <c r="OZM25" s="84"/>
      <c r="OZN25" s="84"/>
      <c r="OZO25" s="84"/>
      <c r="OZP25" s="84"/>
      <c r="OZQ25" s="84"/>
      <c r="OZR25" s="84"/>
      <c r="OZS25" s="84"/>
      <c r="OZT25" s="84"/>
      <c r="OZU25" s="84"/>
      <c r="OZV25" s="84"/>
      <c r="OZW25" s="84"/>
      <c r="OZX25" s="84"/>
      <c r="OZY25" s="84"/>
      <c r="OZZ25" s="84"/>
      <c r="PAA25" s="84"/>
      <c r="PAB25" s="84"/>
      <c r="PAC25" s="84"/>
      <c r="PAD25" s="84"/>
      <c r="PAE25" s="84"/>
      <c r="PAF25" s="84"/>
      <c r="PAG25" s="84"/>
      <c r="PAH25" s="84"/>
      <c r="PAI25" s="84"/>
      <c r="PAJ25" s="84"/>
      <c r="PAK25" s="84"/>
      <c r="PAL25" s="84"/>
      <c r="PAM25" s="84"/>
      <c r="PAN25" s="84"/>
      <c r="PAO25" s="84"/>
      <c r="PAP25" s="84"/>
      <c r="PAQ25" s="84"/>
      <c r="PAR25" s="84"/>
      <c r="PAS25" s="84"/>
      <c r="PAT25" s="84"/>
      <c r="PAU25" s="84"/>
      <c r="PAV25" s="84"/>
      <c r="PAW25" s="84"/>
      <c r="PAX25" s="84"/>
      <c r="PAY25" s="84"/>
      <c r="PAZ25" s="84"/>
      <c r="PBA25" s="84"/>
      <c r="PBB25" s="84"/>
      <c r="PBC25" s="84"/>
      <c r="PBD25" s="84"/>
      <c r="PBE25" s="84"/>
      <c r="PBF25" s="84"/>
      <c r="PBG25" s="84"/>
      <c r="PBH25" s="84"/>
      <c r="PBI25" s="84"/>
      <c r="PBJ25" s="84"/>
      <c r="PBK25" s="84"/>
      <c r="PBL25" s="84"/>
      <c r="PBM25" s="84"/>
      <c r="PBN25" s="84"/>
      <c r="PBO25" s="84"/>
      <c r="PBP25" s="84"/>
      <c r="PBQ25" s="84"/>
      <c r="PBR25" s="84"/>
      <c r="PBS25" s="84"/>
      <c r="PBT25" s="84"/>
      <c r="PBU25" s="84"/>
      <c r="PBV25" s="84"/>
      <c r="PBW25" s="84"/>
      <c r="PBX25" s="84"/>
      <c r="PBY25" s="84"/>
      <c r="PBZ25" s="84"/>
      <c r="PCA25" s="84"/>
      <c r="PCB25" s="84"/>
      <c r="PCC25" s="84"/>
      <c r="PCD25" s="84"/>
      <c r="PCE25" s="84"/>
      <c r="PCF25" s="84"/>
      <c r="PCG25" s="84"/>
      <c r="PCH25" s="84"/>
      <c r="PCI25" s="84"/>
      <c r="PCJ25" s="84"/>
      <c r="PCK25" s="84"/>
      <c r="PCL25" s="84"/>
      <c r="PCM25" s="84"/>
      <c r="PCN25" s="84"/>
      <c r="PCO25" s="84"/>
      <c r="PCP25" s="84"/>
      <c r="PCQ25" s="84"/>
      <c r="PCR25" s="84"/>
      <c r="PCS25" s="84"/>
      <c r="PCT25" s="84"/>
      <c r="PCU25" s="84"/>
      <c r="PCV25" s="84"/>
      <c r="PCW25" s="84"/>
      <c r="PCX25" s="84"/>
      <c r="PCY25" s="84"/>
      <c r="PCZ25" s="84"/>
      <c r="PDA25" s="84"/>
      <c r="PDB25" s="84"/>
      <c r="PDC25" s="84"/>
      <c r="PDD25" s="84"/>
      <c r="PDE25" s="84"/>
      <c r="PDF25" s="84"/>
      <c r="PDG25" s="84"/>
      <c r="PDH25" s="84"/>
      <c r="PDI25" s="84"/>
      <c r="PDJ25" s="84"/>
      <c r="PDK25" s="84"/>
      <c r="PDL25" s="84"/>
      <c r="PDM25" s="84"/>
      <c r="PDN25" s="84"/>
      <c r="PDO25" s="84"/>
      <c r="PDP25" s="84"/>
      <c r="PDQ25" s="84"/>
      <c r="PDR25" s="84"/>
      <c r="PDS25" s="84"/>
      <c r="PDT25" s="84"/>
      <c r="PDU25" s="84"/>
      <c r="PDV25" s="84"/>
      <c r="PDW25" s="84"/>
      <c r="PDX25" s="84"/>
      <c r="PDY25" s="84"/>
      <c r="PDZ25" s="84"/>
      <c r="PEA25" s="84"/>
      <c r="PEB25" s="84"/>
      <c r="PEC25" s="84"/>
      <c r="PED25" s="84"/>
      <c r="PEE25" s="84"/>
      <c r="PEF25" s="84"/>
      <c r="PEG25" s="84"/>
      <c r="PEH25" s="84"/>
      <c r="PEI25" s="84"/>
      <c r="PEJ25" s="84"/>
      <c r="PEK25" s="84"/>
      <c r="PEL25" s="84"/>
      <c r="PEM25" s="84"/>
      <c r="PEN25" s="84"/>
      <c r="PEO25" s="84"/>
      <c r="PEP25" s="84"/>
      <c r="PEQ25" s="84"/>
      <c r="PER25" s="84"/>
      <c r="PES25" s="84"/>
      <c r="PET25" s="84"/>
      <c r="PEU25" s="84"/>
      <c r="PEV25" s="84"/>
      <c r="PEW25" s="84"/>
      <c r="PEX25" s="84"/>
      <c r="PEY25" s="84"/>
      <c r="PEZ25" s="84"/>
      <c r="PFA25" s="84"/>
      <c r="PFB25" s="84"/>
      <c r="PFC25" s="84"/>
      <c r="PFD25" s="84"/>
      <c r="PFE25" s="84"/>
      <c r="PFF25" s="84"/>
      <c r="PFG25" s="84"/>
      <c r="PFH25" s="84"/>
      <c r="PFI25" s="84"/>
      <c r="PFJ25" s="84"/>
      <c r="PFK25" s="84"/>
      <c r="PFL25" s="84"/>
      <c r="PFM25" s="84"/>
      <c r="PFN25" s="84"/>
      <c r="PFO25" s="84"/>
      <c r="PFP25" s="84"/>
      <c r="PFQ25" s="84"/>
      <c r="PFR25" s="84"/>
      <c r="PFS25" s="84"/>
      <c r="PFT25" s="84"/>
      <c r="PFU25" s="84"/>
      <c r="PFV25" s="84"/>
      <c r="PFW25" s="84"/>
      <c r="PFX25" s="84"/>
      <c r="PFY25" s="84"/>
      <c r="PFZ25" s="84"/>
      <c r="PGA25" s="84"/>
      <c r="PGB25" s="84"/>
      <c r="PGC25" s="84"/>
      <c r="PGD25" s="84"/>
      <c r="PGE25" s="84"/>
      <c r="PGF25" s="84"/>
      <c r="PGG25" s="84"/>
      <c r="PGH25" s="84"/>
      <c r="PGI25" s="84"/>
      <c r="PGJ25" s="84"/>
      <c r="PGK25" s="84"/>
      <c r="PGL25" s="84"/>
      <c r="PGM25" s="84"/>
      <c r="PGN25" s="84"/>
      <c r="PGO25" s="84"/>
      <c r="PGP25" s="84"/>
      <c r="PGQ25" s="84"/>
      <c r="PGR25" s="84"/>
      <c r="PGS25" s="84"/>
      <c r="PGT25" s="84"/>
      <c r="PGU25" s="84"/>
      <c r="PGV25" s="84"/>
      <c r="PGW25" s="84"/>
      <c r="PGX25" s="84"/>
      <c r="PGY25" s="84"/>
      <c r="PGZ25" s="84"/>
      <c r="PHA25" s="84"/>
      <c r="PHB25" s="84"/>
      <c r="PHC25" s="84"/>
      <c r="PHD25" s="84"/>
      <c r="PHE25" s="84"/>
      <c r="PHF25" s="84"/>
      <c r="PHG25" s="84"/>
      <c r="PHH25" s="84"/>
      <c r="PHI25" s="84"/>
      <c r="PHJ25" s="84"/>
      <c r="PHK25" s="84"/>
      <c r="PHL25" s="84"/>
      <c r="PHM25" s="84"/>
      <c r="PHN25" s="84"/>
      <c r="PHO25" s="84"/>
      <c r="PHP25" s="84"/>
      <c r="PHQ25" s="84"/>
      <c r="PHR25" s="84"/>
      <c r="PHS25" s="84"/>
      <c r="PHT25" s="84"/>
      <c r="PHU25" s="84"/>
      <c r="PHV25" s="84"/>
      <c r="PHW25" s="84"/>
      <c r="PHX25" s="84"/>
      <c r="PHY25" s="84"/>
      <c r="PHZ25" s="84"/>
      <c r="PIA25" s="84"/>
      <c r="PIB25" s="84"/>
      <c r="PIC25" s="84"/>
      <c r="PID25" s="84"/>
      <c r="PIE25" s="84"/>
      <c r="PIF25" s="84"/>
      <c r="PIG25" s="84"/>
      <c r="PIH25" s="84"/>
      <c r="PII25" s="84"/>
      <c r="PIJ25" s="84"/>
      <c r="PIK25" s="84"/>
      <c r="PIL25" s="84"/>
      <c r="PIM25" s="84"/>
      <c r="PIN25" s="84"/>
      <c r="PIO25" s="84"/>
      <c r="PIP25" s="84"/>
      <c r="PIQ25" s="84"/>
      <c r="PIR25" s="84"/>
      <c r="PIS25" s="84"/>
      <c r="PIT25" s="84"/>
      <c r="PIU25" s="84"/>
      <c r="PIV25" s="84"/>
      <c r="PIW25" s="84"/>
      <c r="PIX25" s="84"/>
      <c r="PIY25" s="84"/>
      <c r="PIZ25" s="84"/>
      <c r="PJA25" s="84"/>
      <c r="PJB25" s="84"/>
      <c r="PJC25" s="84"/>
      <c r="PJD25" s="84"/>
      <c r="PJE25" s="84"/>
      <c r="PJF25" s="84"/>
      <c r="PJG25" s="84"/>
      <c r="PJH25" s="84"/>
      <c r="PJI25" s="84"/>
      <c r="PJJ25" s="84"/>
      <c r="PJK25" s="84"/>
      <c r="PJL25" s="84"/>
      <c r="PJM25" s="84"/>
      <c r="PJN25" s="84"/>
      <c r="PJO25" s="84"/>
      <c r="PJP25" s="84"/>
      <c r="PJQ25" s="84"/>
      <c r="PJR25" s="84"/>
      <c r="PJS25" s="84"/>
      <c r="PJT25" s="84"/>
      <c r="PJU25" s="84"/>
      <c r="PJV25" s="84"/>
      <c r="PJW25" s="84"/>
      <c r="PJX25" s="84"/>
      <c r="PJY25" s="84"/>
      <c r="PJZ25" s="84"/>
      <c r="PKA25" s="84"/>
      <c r="PKB25" s="84"/>
      <c r="PKC25" s="84"/>
      <c r="PKD25" s="84"/>
      <c r="PKE25" s="84"/>
      <c r="PKF25" s="84"/>
      <c r="PKG25" s="84"/>
      <c r="PKH25" s="84"/>
      <c r="PKI25" s="84"/>
      <c r="PKJ25" s="84"/>
      <c r="PKK25" s="84"/>
      <c r="PKL25" s="84"/>
      <c r="PKM25" s="84"/>
      <c r="PKN25" s="84"/>
      <c r="PKO25" s="84"/>
      <c r="PKP25" s="84"/>
      <c r="PKQ25" s="84"/>
      <c r="PKR25" s="84"/>
      <c r="PKS25" s="84"/>
      <c r="PKT25" s="84"/>
      <c r="PKU25" s="84"/>
      <c r="PKV25" s="84"/>
      <c r="PKW25" s="84"/>
      <c r="PKX25" s="84"/>
      <c r="PKY25" s="84"/>
      <c r="PKZ25" s="84"/>
      <c r="PLA25" s="84"/>
      <c r="PLB25" s="84"/>
      <c r="PLC25" s="84"/>
      <c r="PLD25" s="84"/>
      <c r="PLE25" s="84"/>
      <c r="PLF25" s="84"/>
      <c r="PLG25" s="84"/>
      <c r="PLH25" s="84"/>
      <c r="PLI25" s="84"/>
      <c r="PLJ25" s="84"/>
      <c r="PLK25" s="84"/>
      <c r="PLL25" s="84"/>
      <c r="PLM25" s="84"/>
      <c r="PLN25" s="84"/>
      <c r="PLO25" s="84"/>
      <c r="PLP25" s="84"/>
      <c r="PLQ25" s="84"/>
      <c r="PLR25" s="84"/>
      <c r="PLS25" s="84"/>
      <c r="PLT25" s="84"/>
      <c r="PLU25" s="84"/>
      <c r="PLV25" s="84"/>
      <c r="PLW25" s="84"/>
      <c r="PLX25" s="84"/>
      <c r="PLY25" s="84"/>
      <c r="PLZ25" s="84"/>
      <c r="PMA25" s="84"/>
      <c r="PMB25" s="84"/>
      <c r="PMC25" s="84"/>
      <c r="PMD25" s="84"/>
      <c r="PME25" s="84"/>
      <c r="PMF25" s="84"/>
      <c r="PMG25" s="84"/>
      <c r="PMH25" s="84"/>
      <c r="PMI25" s="84"/>
      <c r="PMJ25" s="84"/>
      <c r="PMK25" s="84"/>
      <c r="PML25" s="84"/>
      <c r="PMM25" s="84"/>
      <c r="PMN25" s="84"/>
      <c r="PMO25" s="84"/>
      <c r="PMP25" s="84"/>
      <c r="PMQ25" s="84"/>
      <c r="PMR25" s="84"/>
      <c r="PMS25" s="84"/>
      <c r="PMT25" s="84"/>
      <c r="PMU25" s="84"/>
      <c r="PMV25" s="84"/>
      <c r="PMW25" s="84"/>
      <c r="PMX25" s="84"/>
      <c r="PMY25" s="84"/>
      <c r="PMZ25" s="84"/>
      <c r="PNA25" s="84"/>
      <c r="PNB25" s="84"/>
      <c r="PNC25" s="84"/>
      <c r="PND25" s="84"/>
      <c r="PNE25" s="84"/>
      <c r="PNF25" s="84"/>
      <c r="PNG25" s="84"/>
      <c r="PNH25" s="84"/>
      <c r="PNI25" s="84"/>
      <c r="PNJ25" s="84"/>
      <c r="PNK25" s="84"/>
      <c r="PNL25" s="84"/>
      <c r="PNM25" s="84"/>
      <c r="PNN25" s="84"/>
      <c r="PNO25" s="84"/>
      <c r="PNP25" s="84"/>
      <c r="PNQ25" s="84"/>
      <c r="PNR25" s="84"/>
      <c r="PNS25" s="84"/>
      <c r="PNT25" s="84"/>
      <c r="PNU25" s="84"/>
      <c r="PNV25" s="84"/>
      <c r="PNW25" s="84"/>
      <c r="PNX25" s="84"/>
      <c r="PNY25" s="84"/>
      <c r="PNZ25" s="84"/>
      <c r="POA25" s="84"/>
      <c r="POB25" s="84"/>
      <c r="POC25" s="84"/>
      <c r="POD25" s="84"/>
      <c r="POE25" s="84"/>
      <c r="POF25" s="84"/>
      <c r="POG25" s="84"/>
      <c r="POH25" s="84"/>
      <c r="POI25" s="84"/>
      <c r="POJ25" s="84"/>
      <c r="POK25" s="84"/>
      <c r="POL25" s="84"/>
      <c r="POM25" s="84"/>
      <c r="PON25" s="84"/>
      <c r="POO25" s="84"/>
      <c r="POP25" s="84"/>
      <c r="POQ25" s="84"/>
      <c r="POR25" s="84"/>
      <c r="POS25" s="84"/>
      <c r="POT25" s="84"/>
      <c r="POU25" s="84"/>
      <c r="POV25" s="84"/>
      <c r="POW25" s="84"/>
      <c r="POX25" s="84"/>
      <c r="POY25" s="84"/>
      <c r="POZ25" s="84"/>
      <c r="PPA25" s="84"/>
      <c r="PPB25" s="84"/>
      <c r="PPC25" s="84"/>
      <c r="PPD25" s="84"/>
      <c r="PPE25" s="84"/>
      <c r="PPF25" s="84"/>
      <c r="PPG25" s="84"/>
      <c r="PPH25" s="84"/>
      <c r="PPI25" s="84"/>
      <c r="PPJ25" s="84"/>
      <c r="PPK25" s="84"/>
      <c r="PPL25" s="84"/>
      <c r="PPM25" s="84"/>
      <c r="PPN25" s="84"/>
      <c r="PPO25" s="84"/>
      <c r="PPP25" s="84"/>
      <c r="PPQ25" s="84"/>
      <c r="PPR25" s="84"/>
      <c r="PPS25" s="84"/>
      <c r="PPT25" s="84"/>
      <c r="PPU25" s="84"/>
      <c r="PPV25" s="84"/>
      <c r="PPW25" s="84"/>
      <c r="PPX25" s="84"/>
      <c r="PPY25" s="84"/>
      <c r="PPZ25" s="84"/>
      <c r="PQA25" s="84"/>
      <c r="PQB25" s="84"/>
      <c r="PQC25" s="84"/>
      <c r="PQD25" s="84"/>
      <c r="PQE25" s="84"/>
      <c r="PQF25" s="84"/>
      <c r="PQG25" s="84"/>
      <c r="PQH25" s="84"/>
      <c r="PQI25" s="84"/>
      <c r="PQJ25" s="84"/>
      <c r="PQK25" s="84"/>
      <c r="PQL25" s="84"/>
      <c r="PQM25" s="84"/>
      <c r="PQN25" s="84"/>
      <c r="PQO25" s="84"/>
      <c r="PQP25" s="84"/>
      <c r="PQQ25" s="84"/>
      <c r="PQR25" s="84"/>
      <c r="PQS25" s="84"/>
      <c r="PQT25" s="84"/>
      <c r="PQU25" s="84"/>
      <c r="PQV25" s="84"/>
      <c r="PQW25" s="84"/>
      <c r="PQX25" s="84"/>
      <c r="PQY25" s="84"/>
      <c r="PQZ25" s="84"/>
      <c r="PRA25" s="84"/>
      <c r="PRB25" s="84"/>
      <c r="PRC25" s="84"/>
      <c r="PRD25" s="84"/>
      <c r="PRE25" s="84"/>
      <c r="PRF25" s="84"/>
      <c r="PRG25" s="84"/>
      <c r="PRH25" s="84"/>
      <c r="PRI25" s="84"/>
      <c r="PRJ25" s="84"/>
      <c r="PRK25" s="84"/>
      <c r="PRL25" s="84"/>
      <c r="PRM25" s="84"/>
      <c r="PRN25" s="84"/>
      <c r="PRO25" s="84"/>
      <c r="PRP25" s="84"/>
      <c r="PRQ25" s="84"/>
      <c r="PRR25" s="84"/>
      <c r="PRS25" s="84"/>
      <c r="PRT25" s="84"/>
      <c r="PRU25" s="84"/>
      <c r="PRV25" s="84"/>
      <c r="PRW25" s="84"/>
      <c r="PRX25" s="84"/>
      <c r="PRY25" s="84"/>
      <c r="PRZ25" s="84"/>
      <c r="PSA25" s="84"/>
      <c r="PSB25" s="84"/>
      <c r="PSC25" s="84"/>
      <c r="PSD25" s="84"/>
      <c r="PSE25" s="84"/>
      <c r="PSF25" s="84"/>
      <c r="PSG25" s="84"/>
      <c r="PSH25" s="84"/>
      <c r="PSI25" s="84"/>
      <c r="PSJ25" s="84"/>
      <c r="PSK25" s="84"/>
      <c r="PSL25" s="84"/>
      <c r="PSM25" s="84"/>
      <c r="PSN25" s="84"/>
      <c r="PSO25" s="84"/>
      <c r="PSP25" s="84"/>
      <c r="PSQ25" s="84"/>
      <c r="PSR25" s="84"/>
      <c r="PSS25" s="84"/>
      <c r="PST25" s="84"/>
      <c r="PSU25" s="84"/>
      <c r="PSV25" s="84"/>
      <c r="PSW25" s="84"/>
      <c r="PSX25" s="84"/>
      <c r="PSY25" s="84"/>
      <c r="PSZ25" s="84"/>
      <c r="PTA25" s="84"/>
      <c r="PTB25" s="84"/>
      <c r="PTC25" s="84"/>
      <c r="PTD25" s="84"/>
      <c r="PTE25" s="84"/>
      <c r="PTF25" s="84"/>
      <c r="PTG25" s="84"/>
      <c r="PTH25" s="84"/>
      <c r="PTI25" s="84"/>
      <c r="PTJ25" s="84"/>
      <c r="PTK25" s="84"/>
      <c r="PTL25" s="84"/>
      <c r="PTM25" s="84"/>
      <c r="PTN25" s="84"/>
      <c r="PTO25" s="84"/>
      <c r="PTP25" s="84"/>
      <c r="PTQ25" s="84"/>
      <c r="PTR25" s="84"/>
      <c r="PTS25" s="84"/>
      <c r="PTT25" s="84"/>
      <c r="PTU25" s="84"/>
      <c r="PTV25" s="84"/>
      <c r="PTW25" s="84"/>
      <c r="PTX25" s="84"/>
      <c r="PTY25" s="84"/>
      <c r="PTZ25" s="84"/>
      <c r="PUA25" s="84"/>
      <c r="PUB25" s="84"/>
      <c r="PUC25" s="84"/>
      <c r="PUD25" s="84"/>
      <c r="PUE25" s="84"/>
      <c r="PUF25" s="84"/>
      <c r="PUG25" s="84"/>
      <c r="PUH25" s="84"/>
      <c r="PUI25" s="84"/>
      <c r="PUJ25" s="84"/>
      <c r="PUK25" s="84"/>
      <c r="PUL25" s="84"/>
      <c r="PUM25" s="84"/>
      <c r="PUN25" s="84"/>
      <c r="PUO25" s="84"/>
      <c r="PUP25" s="84"/>
      <c r="PUQ25" s="84"/>
      <c r="PUR25" s="84"/>
      <c r="PUS25" s="84"/>
      <c r="PUT25" s="84"/>
      <c r="PUU25" s="84"/>
      <c r="PUV25" s="84"/>
      <c r="PUW25" s="84"/>
      <c r="PUX25" s="84"/>
      <c r="PUY25" s="84"/>
      <c r="PUZ25" s="84"/>
      <c r="PVA25" s="84"/>
      <c r="PVB25" s="84"/>
      <c r="PVC25" s="84"/>
      <c r="PVD25" s="84"/>
      <c r="PVE25" s="84"/>
      <c r="PVF25" s="84"/>
      <c r="PVG25" s="84"/>
      <c r="PVH25" s="84"/>
      <c r="PVI25" s="84"/>
      <c r="PVJ25" s="84"/>
      <c r="PVK25" s="84"/>
      <c r="PVL25" s="84"/>
      <c r="PVM25" s="84"/>
      <c r="PVN25" s="84"/>
      <c r="PVO25" s="84"/>
      <c r="PVP25" s="84"/>
      <c r="PVQ25" s="84"/>
      <c r="PVR25" s="84"/>
      <c r="PVS25" s="84"/>
      <c r="PVT25" s="84"/>
      <c r="PVU25" s="84"/>
      <c r="PVV25" s="84"/>
      <c r="PVW25" s="84"/>
      <c r="PVX25" s="84"/>
      <c r="PVY25" s="84"/>
      <c r="PVZ25" s="84"/>
      <c r="PWA25" s="84"/>
      <c r="PWB25" s="84"/>
      <c r="PWC25" s="84"/>
      <c r="PWD25" s="84"/>
      <c r="PWE25" s="84"/>
      <c r="PWF25" s="84"/>
      <c r="PWG25" s="84"/>
      <c r="PWH25" s="84"/>
      <c r="PWI25" s="84"/>
      <c r="PWJ25" s="84"/>
      <c r="PWK25" s="84"/>
      <c r="PWL25" s="84"/>
      <c r="PWM25" s="84"/>
      <c r="PWN25" s="84"/>
      <c r="PWO25" s="84"/>
      <c r="PWP25" s="84"/>
      <c r="PWQ25" s="84"/>
      <c r="PWR25" s="84"/>
      <c r="PWS25" s="84"/>
      <c r="PWT25" s="84"/>
      <c r="PWU25" s="84"/>
      <c r="PWV25" s="84"/>
      <c r="PWW25" s="84"/>
      <c r="PWX25" s="84"/>
      <c r="PWY25" s="84"/>
      <c r="PWZ25" s="84"/>
      <c r="PXA25" s="84"/>
      <c r="PXB25" s="84"/>
      <c r="PXC25" s="84"/>
      <c r="PXD25" s="84"/>
      <c r="PXE25" s="84"/>
      <c r="PXF25" s="84"/>
      <c r="PXG25" s="84"/>
      <c r="PXH25" s="84"/>
      <c r="PXI25" s="84"/>
      <c r="PXJ25" s="84"/>
      <c r="PXK25" s="84"/>
      <c r="PXL25" s="84"/>
      <c r="PXM25" s="84"/>
      <c r="PXN25" s="84"/>
      <c r="PXO25" s="84"/>
      <c r="PXP25" s="84"/>
      <c r="PXQ25" s="84"/>
      <c r="PXR25" s="84"/>
      <c r="PXS25" s="84"/>
      <c r="PXT25" s="84"/>
      <c r="PXU25" s="84"/>
      <c r="PXV25" s="84"/>
      <c r="PXW25" s="84"/>
      <c r="PXX25" s="84"/>
      <c r="PXY25" s="84"/>
      <c r="PXZ25" s="84"/>
      <c r="PYA25" s="84"/>
      <c r="PYB25" s="84"/>
      <c r="PYC25" s="84"/>
      <c r="PYD25" s="84"/>
      <c r="PYE25" s="84"/>
      <c r="PYF25" s="84"/>
      <c r="PYG25" s="84"/>
      <c r="PYH25" s="84"/>
      <c r="PYI25" s="84"/>
      <c r="PYJ25" s="84"/>
      <c r="PYK25" s="84"/>
      <c r="PYL25" s="84"/>
      <c r="PYM25" s="84"/>
      <c r="PYN25" s="84"/>
      <c r="PYO25" s="84"/>
      <c r="PYP25" s="84"/>
      <c r="PYQ25" s="84"/>
      <c r="PYR25" s="84"/>
      <c r="PYS25" s="84"/>
      <c r="PYT25" s="84"/>
      <c r="PYU25" s="84"/>
      <c r="PYV25" s="84"/>
      <c r="PYW25" s="84"/>
      <c r="PYX25" s="84"/>
      <c r="PYY25" s="84"/>
      <c r="PYZ25" s="84"/>
      <c r="PZA25" s="84"/>
      <c r="PZB25" s="84"/>
      <c r="PZC25" s="84"/>
      <c r="PZD25" s="84"/>
      <c r="PZE25" s="84"/>
      <c r="PZF25" s="84"/>
      <c r="PZG25" s="84"/>
      <c r="PZH25" s="84"/>
      <c r="PZI25" s="84"/>
      <c r="PZJ25" s="84"/>
      <c r="PZK25" s="84"/>
      <c r="PZL25" s="84"/>
      <c r="PZM25" s="84"/>
      <c r="PZN25" s="84"/>
      <c r="PZO25" s="84"/>
      <c r="PZP25" s="84"/>
      <c r="PZQ25" s="84"/>
      <c r="PZR25" s="84"/>
      <c r="PZS25" s="84"/>
      <c r="PZT25" s="84"/>
      <c r="PZU25" s="84"/>
      <c r="PZV25" s="84"/>
      <c r="PZW25" s="84"/>
      <c r="PZX25" s="84"/>
      <c r="PZY25" s="84"/>
      <c r="PZZ25" s="84"/>
      <c r="QAA25" s="84"/>
      <c r="QAB25" s="84"/>
      <c r="QAC25" s="84"/>
      <c r="QAD25" s="84"/>
      <c r="QAE25" s="84"/>
      <c r="QAF25" s="84"/>
      <c r="QAG25" s="84"/>
      <c r="QAH25" s="84"/>
      <c r="QAI25" s="84"/>
      <c r="QAJ25" s="84"/>
      <c r="QAK25" s="84"/>
      <c r="QAL25" s="84"/>
      <c r="QAM25" s="84"/>
      <c r="QAN25" s="84"/>
      <c r="QAO25" s="84"/>
      <c r="QAP25" s="84"/>
      <c r="QAQ25" s="84"/>
      <c r="QAR25" s="84"/>
      <c r="QAS25" s="84"/>
      <c r="QAT25" s="84"/>
      <c r="QAU25" s="84"/>
      <c r="QAV25" s="84"/>
      <c r="QAW25" s="84"/>
      <c r="QAX25" s="84"/>
      <c r="QAY25" s="84"/>
      <c r="QAZ25" s="84"/>
      <c r="QBA25" s="84"/>
      <c r="QBB25" s="84"/>
      <c r="QBC25" s="84"/>
      <c r="QBD25" s="84"/>
      <c r="QBE25" s="84"/>
      <c r="QBF25" s="84"/>
      <c r="QBG25" s="84"/>
      <c r="QBH25" s="84"/>
      <c r="QBI25" s="84"/>
      <c r="QBJ25" s="84"/>
      <c r="QBK25" s="84"/>
      <c r="QBL25" s="84"/>
      <c r="QBM25" s="84"/>
      <c r="QBN25" s="84"/>
      <c r="QBO25" s="84"/>
      <c r="QBP25" s="84"/>
      <c r="QBQ25" s="84"/>
      <c r="QBR25" s="84"/>
      <c r="QBS25" s="84"/>
      <c r="QBT25" s="84"/>
      <c r="QBU25" s="84"/>
      <c r="QBV25" s="84"/>
      <c r="QBW25" s="84"/>
      <c r="QBX25" s="84"/>
      <c r="QBY25" s="84"/>
      <c r="QBZ25" s="84"/>
      <c r="QCA25" s="84"/>
      <c r="QCB25" s="84"/>
      <c r="QCC25" s="84"/>
      <c r="QCD25" s="84"/>
      <c r="QCE25" s="84"/>
      <c r="QCF25" s="84"/>
      <c r="QCG25" s="84"/>
      <c r="QCH25" s="84"/>
      <c r="QCI25" s="84"/>
      <c r="QCJ25" s="84"/>
      <c r="QCK25" s="84"/>
      <c r="QCL25" s="84"/>
      <c r="QCM25" s="84"/>
      <c r="QCN25" s="84"/>
      <c r="QCO25" s="84"/>
      <c r="QCP25" s="84"/>
      <c r="QCQ25" s="84"/>
      <c r="QCR25" s="84"/>
      <c r="QCS25" s="84"/>
      <c r="QCT25" s="84"/>
      <c r="QCU25" s="84"/>
      <c r="QCV25" s="84"/>
      <c r="QCW25" s="84"/>
      <c r="QCX25" s="84"/>
      <c r="QCY25" s="84"/>
      <c r="QCZ25" s="84"/>
      <c r="QDA25" s="84"/>
      <c r="QDB25" s="84"/>
      <c r="QDC25" s="84"/>
      <c r="QDD25" s="84"/>
      <c r="QDE25" s="84"/>
      <c r="QDF25" s="84"/>
      <c r="QDG25" s="84"/>
      <c r="QDH25" s="84"/>
      <c r="QDI25" s="84"/>
      <c r="QDJ25" s="84"/>
      <c r="QDK25" s="84"/>
      <c r="QDL25" s="84"/>
      <c r="QDM25" s="84"/>
      <c r="QDN25" s="84"/>
      <c r="QDO25" s="84"/>
      <c r="QDP25" s="84"/>
      <c r="QDQ25" s="84"/>
      <c r="QDR25" s="84"/>
      <c r="QDS25" s="84"/>
      <c r="QDT25" s="84"/>
      <c r="QDU25" s="84"/>
      <c r="QDV25" s="84"/>
      <c r="QDW25" s="84"/>
      <c r="QDX25" s="84"/>
      <c r="QDY25" s="84"/>
      <c r="QDZ25" s="84"/>
      <c r="QEA25" s="84"/>
      <c r="QEB25" s="84"/>
      <c r="QEC25" s="84"/>
      <c r="QED25" s="84"/>
      <c r="QEE25" s="84"/>
      <c r="QEF25" s="84"/>
      <c r="QEG25" s="84"/>
      <c r="QEH25" s="84"/>
      <c r="QEI25" s="84"/>
      <c r="QEJ25" s="84"/>
      <c r="QEK25" s="84"/>
      <c r="QEL25" s="84"/>
      <c r="QEM25" s="84"/>
      <c r="QEN25" s="84"/>
      <c r="QEO25" s="84"/>
      <c r="QEP25" s="84"/>
      <c r="QEQ25" s="84"/>
      <c r="QER25" s="84"/>
      <c r="QES25" s="84"/>
      <c r="QET25" s="84"/>
      <c r="QEU25" s="84"/>
      <c r="QEV25" s="84"/>
      <c r="QEW25" s="84"/>
      <c r="QEX25" s="84"/>
      <c r="QEY25" s="84"/>
      <c r="QEZ25" s="84"/>
      <c r="QFA25" s="84"/>
      <c r="QFB25" s="84"/>
      <c r="QFC25" s="84"/>
      <c r="QFD25" s="84"/>
      <c r="QFE25" s="84"/>
      <c r="QFF25" s="84"/>
      <c r="QFG25" s="84"/>
      <c r="QFH25" s="84"/>
      <c r="QFI25" s="84"/>
      <c r="QFJ25" s="84"/>
      <c r="QFK25" s="84"/>
      <c r="QFL25" s="84"/>
      <c r="QFM25" s="84"/>
      <c r="QFN25" s="84"/>
      <c r="QFO25" s="84"/>
      <c r="QFP25" s="84"/>
      <c r="QFQ25" s="84"/>
      <c r="QFR25" s="84"/>
      <c r="QFS25" s="84"/>
      <c r="QFT25" s="84"/>
      <c r="QFU25" s="84"/>
      <c r="QFV25" s="84"/>
      <c r="QFW25" s="84"/>
      <c r="QFX25" s="84"/>
      <c r="QFY25" s="84"/>
      <c r="QFZ25" s="84"/>
      <c r="QGA25" s="84"/>
      <c r="QGB25" s="84"/>
      <c r="QGC25" s="84"/>
      <c r="QGD25" s="84"/>
      <c r="QGE25" s="84"/>
      <c r="QGF25" s="84"/>
      <c r="QGG25" s="84"/>
      <c r="QGH25" s="84"/>
      <c r="QGI25" s="84"/>
      <c r="QGJ25" s="84"/>
      <c r="QGK25" s="84"/>
      <c r="QGL25" s="84"/>
      <c r="QGM25" s="84"/>
      <c r="QGN25" s="84"/>
      <c r="QGO25" s="84"/>
      <c r="QGP25" s="84"/>
      <c r="QGQ25" s="84"/>
      <c r="QGR25" s="84"/>
      <c r="QGS25" s="84"/>
      <c r="QGT25" s="84"/>
      <c r="QGU25" s="84"/>
      <c r="QGV25" s="84"/>
      <c r="QGW25" s="84"/>
      <c r="QGX25" s="84"/>
      <c r="QGY25" s="84"/>
      <c r="QGZ25" s="84"/>
      <c r="QHA25" s="84"/>
      <c r="QHB25" s="84"/>
      <c r="QHC25" s="84"/>
      <c r="QHD25" s="84"/>
      <c r="QHE25" s="84"/>
      <c r="QHF25" s="84"/>
      <c r="QHG25" s="84"/>
      <c r="QHH25" s="84"/>
      <c r="QHI25" s="84"/>
      <c r="QHJ25" s="84"/>
      <c r="QHK25" s="84"/>
      <c r="QHL25" s="84"/>
      <c r="QHM25" s="84"/>
      <c r="QHN25" s="84"/>
      <c r="QHO25" s="84"/>
      <c r="QHP25" s="84"/>
      <c r="QHQ25" s="84"/>
      <c r="QHR25" s="84"/>
      <c r="QHS25" s="84"/>
      <c r="QHT25" s="84"/>
      <c r="QHU25" s="84"/>
      <c r="QHV25" s="84"/>
      <c r="QHW25" s="84"/>
      <c r="QHX25" s="84"/>
      <c r="QHY25" s="84"/>
      <c r="QHZ25" s="84"/>
      <c r="QIA25" s="84"/>
      <c r="QIB25" s="84"/>
      <c r="QIC25" s="84"/>
      <c r="QID25" s="84"/>
      <c r="QIE25" s="84"/>
      <c r="QIF25" s="84"/>
      <c r="QIG25" s="84"/>
      <c r="QIH25" s="84"/>
      <c r="QII25" s="84"/>
      <c r="QIJ25" s="84"/>
      <c r="QIK25" s="84"/>
      <c r="QIL25" s="84"/>
      <c r="QIM25" s="84"/>
      <c r="QIN25" s="84"/>
      <c r="QIO25" s="84"/>
      <c r="QIP25" s="84"/>
      <c r="QIQ25" s="84"/>
      <c r="QIR25" s="84"/>
      <c r="QIS25" s="84"/>
      <c r="QIT25" s="84"/>
      <c r="QIU25" s="84"/>
      <c r="QIV25" s="84"/>
      <c r="QIW25" s="84"/>
      <c r="QIX25" s="84"/>
      <c r="QIY25" s="84"/>
      <c r="QIZ25" s="84"/>
      <c r="QJA25" s="84"/>
      <c r="QJB25" s="84"/>
      <c r="QJC25" s="84"/>
      <c r="QJD25" s="84"/>
      <c r="QJE25" s="84"/>
      <c r="QJF25" s="84"/>
      <c r="QJG25" s="84"/>
      <c r="QJH25" s="84"/>
      <c r="QJI25" s="84"/>
      <c r="QJJ25" s="84"/>
      <c r="QJK25" s="84"/>
      <c r="QJL25" s="84"/>
      <c r="QJM25" s="84"/>
      <c r="QJN25" s="84"/>
      <c r="QJO25" s="84"/>
      <c r="QJP25" s="84"/>
      <c r="QJQ25" s="84"/>
      <c r="QJR25" s="84"/>
      <c r="QJS25" s="84"/>
      <c r="QJT25" s="84"/>
      <c r="QJU25" s="84"/>
      <c r="QJV25" s="84"/>
      <c r="QJW25" s="84"/>
      <c r="QJX25" s="84"/>
      <c r="QJY25" s="84"/>
      <c r="QJZ25" s="84"/>
      <c r="QKA25" s="84"/>
      <c r="QKB25" s="84"/>
      <c r="QKC25" s="84"/>
      <c r="QKD25" s="84"/>
      <c r="QKE25" s="84"/>
      <c r="QKF25" s="84"/>
      <c r="QKG25" s="84"/>
      <c r="QKH25" s="84"/>
      <c r="QKI25" s="84"/>
      <c r="QKJ25" s="84"/>
      <c r="QKK25" s="84"/>
      <c r="QKL25" s="84"/>
      <c r="QKM25" s="84"/>
      <c r="QKN25" s="84"/>
      <c r="QKO25" s="84"/>
      <c r="QKP25" s="84"/>
      <c r="QKQ25" s="84"/>
      <c r="QKR25" s="84"/>
      <c r="QKS25" s="84"/>
      <c r="QKT25" s="84"/>
      <c r="QKU25" s="84"/>
      <c r="QKV25" s="84"/>
      <c r="QKW25" s="84"/>
      <c r="QKX25" s="84"/>
      <c r="QKY25" s="84"/>
      <c r="QKZ25" s="84"/>
      <c r="QLA25" s="84"/>
      <c r="QLB25" s="84"/>
      <c r="QLC25" s="84"/>
      <c r="QLD25" s="84"/>
      <c r="QLE25" s="84"/>
      <c r="QLF25" s="84"/>
      <c r="QLG25" s="84"/>
      <c r="QLH25" s="84"/>
      <c r="QLI25" s="84"/>
      <c r="QLJ25" s="84"/>
      <c r="QLK25" s="84"/>
      <c r="QLL25" s="84"/>
      <c r="QLM25" s="84"/>
      <c r="QLN25" s="84"/>
      <c r="QLO25" s="84"/>
      <c r="QLP25" s="84"/>
      <c r="QLQ25" s="84"/>
      <c r="QLR25" s="84"/>
      <c r="QLS25" s="84"/>
      <c r="QLT25" s="84"/>
      <c r="QLU25" s="84"/>
      <c r="QLV25" s="84"/>
      <c r="QLW25" s="84"/>
      <c r="QLX25" s="84"/>
      <c r="QLY25" s="84"/>
      <c r="QLZ25" s="84"/>
      <c r="QMA25" s="84"/>
      <c r="QMB25" s="84"/>
      <c r="QMC25" s="84"/>
      <c r="QMD25" s="84"/>
      <c r="QME25" s="84"/>
      <c r="QMF25" s="84"/>
      <c r="QMG25" s="84"/>
      <c r="QMH25" s="84"/>
      <c r="QMI25" s="84"/>
      <c r="QMJ25" s="84"/>
      <c r="QMK25" s="84"/>
      <c r="QML25" s="84"/>
      <c r="QMM25" s="84"/>
      <c r="QMN25" s="84"/>
      <c r="QMO25" s="84"/>
      <c r="QMP25" s="84"/>
      <c r="QMQ25" s="84"/>
      <c r="QMR25" s="84"/>
      <c r="QMS25" s="84"/>
      <c r="QMT25" s="84"/>
      <c r="QMU25" s="84"/>
      <c r="QMV25" s="84"/>
      <c r="QMW25" s="84"/>
      <c r="QMX25" s="84"/>
      <c r="QMY25" s="84"/>
      <c r="QMZ25" s="84"/>
      <c r="QNA25" s="84"/>
      <c r="QNB25" s="84"/>
      <c r="QNC25" s="84"/>
      <c r="QND25" s="84"/>
      <c r="QNE25" s="84"/>
      <c r="QNF25" s="84"/>
      <c r="QNG25" s="84"/>
      <c r="QNH25" s="84"/>
      <c r="QNI25" s="84"/>
      <c r="QNJ25" s="84"/>
      <c r="QNK25" s="84"/>
      <c r="QNL25" s="84"/>
      <c r="QNM25" s="84"/>
      <c r="QNN25" s="84"/>
      <c r="QNO25" s="84"/>
      <c r="QNP25" s="84"/>
      <c r="QNQ25" s="84"/>
      <c r="QNR25" s="84"/>
      <c r="QNS25" s="84"/>
      <c r="QNT25" s="84"/>
      <c r="QNU25" s="84"/>
      <c r="QNV25" s="84"/>
      <c r="QNW25" s="84"/>
      <c r="QNX25" s="84"/>
      <c r="QNY25" s="84"/>
      <c r="QNZ25" s="84"/>
      <c r="QOA25" s="84"/>
      <c r="QOB25" s="84"/>
      <c r="QOC25" s="84"/>
      <c r="QOD25" s="84"/>
      <c r="QOE25" s="84"/>
      <c r="QOF25" s="84"/>
      <c r="QOG25" s="84"/>
      <c r="QOH25" s="84"/>
      <c r="QOI25" s="84"/>
      <c r="QOJ25" s="84"/>
      <c r="QOK25" s="84"/>
      <c r="QOL25" s="84"/>
      <c r="QOM25" s="84"/>
      <c r="QON25" s="84"/>
      <c r="QOO25" s="84"/>
      <c r="QOP25" s="84"/>
      <c r="QOQ25" s="84"/>
      <c r="QOR25" s="84"/>
      <c r="QOS25" s="84"/>
      <c r="QOT25" s="84"/>
      <c r="QOU25" s="84"/>
      <c r="QOV25" s="84"/>
      <c r="QOW25" s="84"/>
      <c r="QOX25" s="84"/>
      <c r="QOY25" s="84"/>
      <c r="QOZ25" s="84"/>
      <c r="QPA25" s="84"/>
      <c r="QPB25" s="84"/>
      <c r="QPC25" s="84"/>
      <c r="QPD25" s="84"/>
      <c r="QPE25" s="84"/>
      <c r="QPF25" s="84"/>
      <c r="QPG25" s="84"/>
      <c r="QPH25" s="84"/>
      <c r="QPI25" s="84"/>
      <c r="QPJ25" s="84"/>
      <c r="QPK25" s="84"/>
      <c r="QPL25" s="84"/>
      <c r="QPM25" s="84"/>
      <c r="QPN25" s="84"/>
      <c r="QPO25" s="84"/>
      <c r="QPP25" s="84"/>
      <c r="QPQ25" s="84"/>
      <c r="QPR25" s="84"/>
      <c r="QPS25" s="84"/>
      <c r="QPT25" s="84"/>
      <c r="QPU25" s="84"/>
      <c r="QPV25" s="84"/>
      <c r="QPW25" s="84"/>
      <c r="QPX25" s="84"/>
      <c r="QPY25" s="84"/>
      <c r="QPZ25" s="84"/>
      <c r="QQA25" s="84"/>
      <c r="QQB25" s="84"/>
      <c r="QQC25" s="84"/>
      <c r="QQD25" s="84"/>
      <c r="QQE25" s="84"/>
      <c r="QQF25" s="84"/>
      <c r="QQG25" s="84"/>
      <c r="QQH25" s="84"/>
      <c r="QQI25" s="84"/>
      <c r="QQJ25" s="84"/>
      <c r="QQK25" s="84"/>
      <c r="QQL25" s="84"/>
      <c r="QQM25" s="84"/>
      <c r="QQN25" s="84"/>
      <c r="QQO25" s="84"/>
      <c r="QQP25" s="84"/>
      <c r="QQQ25" s="84"/>
      <c r="QQR25" s="84"/>
      <c r="QQS25" s="84"/>
      <c r="QQT25" s="84"/>
      <c r="QQU25" s="84"/>
      <c r="QQV25" s="84"/>
      <c r="QQW25" s="84"/>
      <c r="QQX25" s="84"/>
      <c r="QQY25" s="84"/>
      <c r="QQZ25" s="84"/>
      <c r="QRA25" s="84"/>
      <c r="QRB25" s="84"/>
      <c r="QRC25" s="84"/>
      <c r="QRD25" s="84"/>
      <c r="QRE25" s="84"/>
      <c r="QRF25" s="84"/>
      <c r="QRG25" s="84"/>
      <c r="QRH25" s="84"/>
      <c r="QRI25" s="84"/>
      <c r="QRJ25" s="84"/>
      <c r="QRK25" s="84"/>
      <c r="QRL25" s="84"/>
      <c r="QRM25" s="84"/>
      <c r="QRN25" s="84"/>
      <c r="QRO25" s="84"/>
      <c r="QRP25" s="84"/>
      <c r="QRQ25" s="84"/>
      <c r="QRR25" s="84"/>
      <c r="QRS25" s="84"/>
      <c r="QRT25" s="84"/>
      <c r="QRU25" s="84"/>
      <c r="QRV25" s="84"/>
      <c r="QRW25" s="84"/>
      <c r="QRX25" s="84"/>
      <c r="QRY25" s="84"/>
      <c r="QRZ25" s="84"/>
      <c r="QSA25" s="84"/>
      <c r="QSB25" s="84"/>
      <c r="QSC25" s="84"/>
      <c r="QSD25" s="84"/>
      <c r="QSE25" s="84"/>
      <c r="QSF25" s="84"/>
      <c r="QSG25" s="84"/>
      <c r="QSH25" s="84"/>
      <c r="QSI25" s="84"/>
      <c r="QSJ25" s="84"/>
      <c r="QSK25" s="84"/>
      <c r="QSL25" s="84"/>
      <c r="QSM25" s="84"/>
      <c r="QSN25" s="84"/>
      <c r="QSO25" s="84"/>
      <c r="QSP25" s="84"/>
      <c r="QSQ25" s="84"/>
      <c r="QSR25" s="84"/>
      <c r="QSS25" s="84"/>
      <c r="QST25" s="84"/>
      <c r="QSU25" s="84"/>
      <c r="QSV25" s="84"/>
      <c r="QSW25" s="84"/>
      <c r="QSX25" s="84"/>
      <c r="QSY25" s="84"/>
      <c r="QSZ25" s="84"/>
      <c r="QTA25" s="84"/>
      <c r="QTB25" s="84"/>
      <c r="QTC25" s="84"/>
      <c r="QTD25" s="84"/>
      <c r="QTE25" s="84"/>
      <c r="QTF25" s="84"/>
      <c r="QTG25" s="84"/>
      <c r="QTH25" s="84"/>
      <c r="QTI25" s="84"/>
      <c r="QTJ25" s="84"/>
      <c r="QTK25" s="84"/>
      <c r="QTL25" s="84"/>
      <c r="QTM25" s="84"/>
      <c r="QTN25" s="84"/>
      <c r="QTO25" s="84"/>
      <c r="QTP25" s="84"/>
      <c r="QTQ25" s="84"/>
      <c r="QTR25" s="84"/>
      <c r="QTS25" s="84"/>
      <c r="QTT25" s="84"/>
      <c r="QTU25" s="84"/>
      <c r="QTV25" s="84"/>
      <c r="QTW25" s="84"/>
      <c r="QTX25" s="84"/>
      <c r="QTY25" s="84"/>
      <c r="QTZ25" s="84"/>
      <c r="QUA25" s="84"/>
      <c r="QUB25" s="84"/>
      <c r="QUC25" s="84"/>
      <c r="QUD25" s="84"/>
      <c r="QUE25" s="84"/>
      <c r="QUF25" s="84"/>
      <c r="QUG25" s="84"/>
      <c r="QUH25" s="84"/>
      <c r="QUI25" s="84"/>
      <c r="QUJ25" s="84"/>
      <c r="QUK25" s="84"/>
      <c r="QUL25" s="84"/>
      <c r="QUM25" s="84"/>
      <c r="QUN25" s="84"/>
      <c r="QUO25" s="84"/>
      <c r="QUP25" s="84"/>
      <c r="QUQ25" s="84"/>
      <c r="QUR25" s="84"/>
      <c r="QUS25" s="84"/>
      <c r="QUT25" s="84"/>
      <c r="QUU25" s="84"/>
      <c r="QUV25" s="84"/>
      <c r="QUW25" s="84"/>
      <c r="QUX25" s="84"/>
      <c r="QUY25" s="84"/>
      <c r="QUZ25" s="84"/>
      <c r="QVA25" s="84"/>
      <c r="QVB25" s="84"/>
      <c r="QVC25" s="84"/>
      <c r="QVD25" s="84"/>
      <c r="QVE25" s="84"/>
      <c r="QVF25" s="84"/>
      <c r="QVG25" s="84"/>
      <c r="QVH25" s="84"/>
      <c r="QVI25" s="84"/>
      <c r="QVJ25" s="84"/>
      <c r="QVK25" s="84"/>
      <c r="QVL25" s="84"/>
      <c r="QVM25" s="84"/>
      <c r="QVN25" s="84"/>
      <c r="QVO25" s="84"/>
      <c r="QVP25" s="84"/>
      <c r="QVQ25" s="84"/>
      <c r="QVR25" s="84"/>
      <c r="QVS25" s="84"/>
      <c r="QVT25" s="84"/>
      <c r="QVU25" s="84"/>
      <c r="QVV25" s="84"/>
      <c r="QVW25" s="84"/>
      <c r="QVX25" s="84"/>
      <c r="QVY25" s="84"/>
      <c r="QVZ25" s="84"/>
      <c r="QWA25" s="84"/>
      <c r="QWB25" s="84"/>
      <c r="QWC25" s="84"/>
      <c r="QWD25" s="84"/>
      <c r="QWE25" s="84"/>
      <c r="QWF25" s="84"/>
      <c r="QWG25" s="84"/>
      <c r="QWH25" s="84"/>
      <c r="QWI25" s="84"/>
      <c r="QWJ25" s="84"/>
      <c r="QWK25" s="84"/>
      <c r="QWL25" s="84"/>
      <c r="QWM25" s="84"/>
      <c r="QWN25" s="84"/>
      <c r="QWO25" s="84"/>
      <c r="QWP25" s="84"/>
      <c r="QWQ25" s="84"/>
      <c r="QWR25" s="84"/>
      <c r="QWS25" s="84"/>
      <c r="QWT25" s="84"/>
      <c r="QWU25" s="84"/>
      <c r="QWV25" s="84"/>
      <c r="QWW25" s="84"/>
      <c r="QWX25" s="84"/>
      <c r="QWY25" s="84"/>
      <c r="QWZ25" s="84"/>
      <c r="QXA25" s="84"/>
      <c r="QXB25" s="84"/>
      <c r="QXC25" s="84"/>
      <c r="QXD25" s="84"/>
      <c r="QXE25" s="84"/>
      <c r="QXF25" s="84"/>
      <c r="QXG25" s="84"/>
      <c r="QXH25" s="84"/>
      <c r="QXI25" s="84"/>
      <c r="QXJ25" s="84"/>
      <c r="QXK25" s="84"/>
      <c r="QXL25" s="84"/>
      <c r="QXM25" s="84"/>
      <c r="QXN25" s="84"/>
      <c r="QXO25" s="84"/>
      <c r="QXP25" s="84"/>
      <c r="QXQ25" s="84"/>
      <c r="QXR25" s="84"/>
      <c r="QXS25" s="84"/>
      <c r="QXT25" s="84"/>
      <c r="QXU25" s="84"/>
      <c r="QXV25" s="84"/>
      <c r="QXW25" s="84"/>
      <c r="QXX25" s="84"/>
      <c r="QXY25" s="84"/>
      <c r="QXZ25" s="84"/>
      <c r="QYA25" s="84"/>
      <c r="QYB25" s="84"/>
      <c r="QYC25" s="84"/>
      <c r="QYD25" s="84"/>
      <c r="QYE25" s="84"/>
      <c r="QYF25" s="84"/>
      <c r="QYG25" s="84"/>
      <c r="QYH25" s="84"/>
      <c r="QYI25" s="84"/>
      <c r="QYJ25" s="84"/>
      <c r="QYK25" s="84"/>
      <c r="QYL25" s="84"/>
      <c r="QYM25" s="84"/>
      <c r="QYN25" s="84"/>
      <c r="QYO25" s="84"/>
      <c r="QYP25" s="84"/>
      <c r="QYQ25" s="84"/>
      <c r="QYR25" s="84"/>
      <c r="QYS25" s="84"/>
      <c r="QYT25" s="84"/>
      <c r="QYU25" s="84"/>
      <c r="QYV25" s="84"/>
      <c r="QYW25" s="84"/>
      <c r="QYX25" s="84"/>
      <c r="QYY25" s="84"/>
      <c r="QYZ25" s="84"/>
      <c r="QZA25" s="84"/>
      <c r="QZB25" s="84"/>
      <c r="QZC25" s="84"/>
      <c r="QZD25" s="84"/>
      <c r="QZE25" s="84"/>
      <c r="QZF25" s="84"/>
      <c r="QZG25" s="84"/>
      <c r="QZH25" s="84"/>
      <c r="QZI25" s="84"/>
      <c r="QZJ25" s="84"/>
      <c r="QZK25" s="84"/>
      <c r="QZL25" s="84"/>
      <c r="QZM25" s="84"/>
      <c r="QZN25" s="84"/>
      <c r="QZO25" s="84"/>
      <c r="QZP25" s="84"/>
      <c r="QZQ25" s="84"/>
      <c r="QZR25" s="84"/>
      <c r="QZS25" s="84"/>
      <c r="QZT25" s="84"/>
      <c r="QZU25" s="84"/>
      <c r="QZV25" s="84"/>
      <c r="QZW25" s="84"/>
      <c r="QZX25" s="84"/>
      <c r="QZY25" s="84"/>
      <c r="QZZ25" s="84"/>
      <c r="RAA25" s="84"/>
      <c r="RAB25" s="84"/>
      <c r="RAC25" s="84"/>
      <c r="RAD25" s="84"/>
      <c r="RAE25" s="84"/>
      <c r="RAF25" s="84"/>
      <c r="RAG25" s="84"/>
      <c r="RAH25" s="84"/>
      <c r="RAI25" s="84"/>
      <c r="RAJ25" s="84"/>
      <c r="RAK25" s="84"/>
      <c r="RAL25" s="84"/>
      <c r="RAM25" s="84"/>
      <c r="RAN25" s="84"/>
      <c r="RAO25" s="84"/>
      <c r="RAP25" s="84"/>
      <c r="RAQ25" s="84"/>
      <c r="RAR25" s="84"/>
      <c r="RAS25" s="84"/>
      <c r="RAT25" s="84"/>
      <c r="RAU25" s="84"/>
      <c r="RAV25" s="84"/>
      <c r="RAW25" s="84"/>
      <c r="RAX25" s="84"/>
      <c r="RAY25" s="84"/>
      <c r="RAZ25" s="84"/>
      <c r="RBA25" s="84"/>
      <c r="RBB25" s="84"/>
      <c r="RBC25" s="84"/>
      <c r="RBD25" s="84"/>
      <c r="RBE25" s="84"/>
      <c r="RBF25" s="84"/>
      <c r="RBG25" s="84"/>
      <c r="RBH25" s="84"/>
      <c r="RBI25" s="84"/>
      <c r="RBJ25" s="84"/>
      <c r="RBK25" s="84"/>
      <c r="RBL25" s="84"/>
      <c r="RBM25" s="84"/>
      <c r="RBN25" s="84"/>
      <c r="RBO25" s="84"/>
      <c r="RBP25" s="84"/>
      <c r="RBQ25" s="84"/>
      <c r="RBR25" s="84"/>
      <c r="RBS25" s="84"/>
      <c r="RBT25" s="84"/>
      <c r="RBU25" s="84"/>
      <c r="RBV25" s="84"/>
      <c r="RBW25" s="84"/>
      <c r="RBX25" s="84"/>
      <c r="RBY25" s="84"/>
      <c r="RBZ25" s="84"/>
      <c r="RCA25" s="84"/>
      <c r="RCB25" s="84"/>
      <c r="RCC25" s="84"/>
      <c r="RCD25" s="84"/>
      <c r="RCE25" s="84"/>
      <c r="RCF25" s="84"/>
      <c r="RCG25" s="84"/>
      <c r="RCH25" s="84"/>
      <c r="RCI25" s="84"/>
      <c r="RCJ25" s="84"/>
      <c r="RCK25" s="84"/>
      <c r="RCL25" s="84"/>
      <c r="RCM25" s="84"/>
      <c r="RCN25" s="84"/>
      <c r="RCO25" s="84"/>
      <c r="RCP25" s="84"/>
      <c r="RCQ25" s="84"/>
      <c r="RCR25" s="84"/>
      <c r="RCS25" s="84"/>
      <c r="RCT25" s="84"/>
      <c r="RCU25" s="84"/>
      <c r="RCV25" s="84"/>
      <c r="RCW25" s="84"/>
      <c r="RCX25" s="84"/>
      <c r="RCY25" s="84"/>
      <c r="RCZ25" s="84"/>
      <c r="RDA25" s="84"/>
      <c r="RDB25" s="84"/>
      <c r="RDC25" s="84"/>
      <c r="RDD25" s="84"/>
      <c r="RDE25" s="84"/>
      <c r="RDF25" s="84"/>
      <c r="RDG25" s="84"/>
      <c r="RDH25" s="84"/>
      <c r="RDI25" s="84"/>
      <c r="RDJ25" s="84"/>
      <c r="RDK25" s="84"/>
      <c r="RDL25" s="84"/>
      <c r="RDM25" s="84"/>
      <c r="RDN25" s="84"/>
      <c r="RDO25" s="84"/>
      <c r="RDP25" s="84"/>
      <c r="RDQ25" s="84"/>
      <c r="RDR25" s="84"/>
      <c r="RDS25" s="84"/>
      <c r="RDT25" s="84"/>
      <c r="RDU25" s="84"/>
      <c r="RDV25" s="84"/>
      <c r="RDW25" s="84"/>
      <c r="RDX25" s="84"/>
      <c r="RDY25" s="84"/>
      <c r="RDZ25" s="84"/>
      <c r="REA25" s="84"/>
      <c r="REB25" s="84"/>
      <c r="REC25" s="84"/>
      <c r="RED25" s="84"/>
      <c r="REE25" s="84"/>
      <c r="REF25" s="84"/>
      <c r="REG25" s="84"/>
      <c r="REH25" s="84"/>
      <c r="REI25" s="84"/>
      <c r="REJ25" s="84"/>
      <c r="REK25" s="84"/>
      <c r="REL25" s="84"/>
      <c r="REM25" s="84"/>
      <c r="REN25" s="84"/>
      <c r="REO25" s="84"/>
      <c r="REP25" s="84"/>
      <c r="REQ25" s="84"/>
      <c r="RER25" s="84"/>
      <c r="RES25" s="84"/>
      <c r="RET25" s="84"/>
      <c r="REU25" s="84"/>
      <c r="REV25" s="84"/>
      <c r="REW25" s="84"/>
      <c r="REX25" s="84"/>
      <c r="REY25" s="84"/>
      <c r="REZ25" s="84"/>
      <c r="RFA25" s="84"/>
      <c r="RFB25" s="84"/>
      <c r="RFC25" s="84"/>
      <c r="RFD25" s="84"/>
      <c r="RFE25" s="84"/>
      <c r="RFF25" s="84"/>
      <c r="RFG25" s="84"/>
      <c r="RFH25" s="84"/>
      <c r="RFI25" s="84"/>
      <c r="RFJ25" s="84"/>
      <c r="RFK25" s="84"/>
      <c r="RFL25" s="84"/>
      <c r="RFM25" s="84"/>
      <c r="RFN25" s="84"/>
      <c r="RFO25" s="84"/>
      <c r="RFP25" s="84"/>
      <c r="RFQ25" s="84"/>
      <c r="RFR25" s="84"/>
      <c r="RFS25" s="84"/>
      <c r="RFT25" s="84"/>
      <c r="RFU25" s="84"/>
      <c r="RFV25" s="84"/>
      <c r="RFW25" s="84"/>
      <c r="RFX25" s="84"/>
      <c r="RFY25" s="84"/>
      <c r="RFZ25" s="84"/>
      <c r="RGA25" s="84"/>
      <c r="RGB25" s="84"/>
      <c r="RGC25" s="84"/>
      <c r="RGD25" s="84"/>
      <c r="RGE25" s="84"/>
      <c r="RGF25" s="84"/>
      <c r="RGG25" s="84"/>
      <c r="RGH25" s="84"/>
      <c r="RGI25" s="84"/>
      <c r="RGJ25" s="84"/>
      <c r="RGK25" s="84"/>
      <c r="RGL25" s="84"/>
      <c r="RGM25" s="84"/>
      <c r="RGN25" s="84"/>
      <c r="RGO25" s="84"/>
      <c r="RGP25" s="84"/>
      <c r="RGQ25" s="84"/>
      <c r="RGR25" s="84"/>
      <c r="RGS25" s="84"/>
      <c r="RGT25" s="84"/>
      <c r="RGU25" s="84"/>
      <c r="RGV25" s="84"/>
      <c r="RGW25" s="84"/>
      <c r="RGX25" s="84"/>
      <c r="RGY25" s="84"/>
      <c r="RGZ25" s="84"/>
      <c r="RHA25" s="84"/>
      <c r="RHB25" s="84"/>
      <c r="RHC25" s="84"/>
      <c r="RHD25" s="84"/>
      <c r="RHE25" s="84"/>
      <c r="RHF25" s="84"/>
      <c r="RHG25" s="84"/>
      <c r="RHH25" s="84"/>
      <c r="RHI25" s="84"/>
      <c r="RHJ25" s="84"/>
      <c r="RHK25" s="84"/>
      <c r="RHL25" s="84"/>
      <c r="RHM25" s="84"/>
      <c r="RHN25" s="84"/>
      <c r="RHO25" s="84"/>
      <c r="RHP25" s="84"/>
      <c r="RHQ25" s="84"/>
      <c r="RHR25" s="84"/>
      <c r="RHS25" s="84"/>
      <c r="RHT25" s="84"/>
      <c r="RHU25" s="84"/>
      <c r="RHV25" s="84"/>
      <c r="RHW25" s="84"/>
      <c r="RHX25" s="84"/>
      <c r="RHY25" s="84"/>
      <c r="RHZ25" s="84"/>
      <c r="RIA25" s="84"/>
      <c r="RIB25" s="84"/>
      <c r="RIC25" s="84"/>
      <c r="RID25" s="84"/>
      <c r="RIE25" s="84"/>
      <c r="RIF25" s="84"/>
      <c r="RIG25" s="84"/>
      <c r="RIH25" s="84"/>
      <c r="RII25" s="84"/>
      <c r="RIJ25" s="84"/>
      <c r="RIK25" s="84"/>
      <c r="RIL25" s="84"/>
      <c r="RIM25" s="84"/>
      <c r="RIN25" s="84"/>
      <c r="RIO25" s="84"/>
      <c r="RIP25" s="84"/>
      <c r="RIQ25" s="84"/>
      <c r="RIR25" s="84"/>
      <c r="RIS25" s="84"/>
      <c r="RIT25" s="84"/>
      <c r="RIU25" s="84"/>
      <c r="RIV25" s="84"/>
      <c r="RIW25" s="84"/>
      <c r="RIX25" s="84"/>
      <c r="RIY25" s="84"/>
      <c r="RIZ25" s="84"/>
      <c r="RJA25" s="84"/>
      <c r="RJB25" s="84"/>
      <c r="RJC25" s="84"/>
      <c r="RJD25" s="84"/>
      <c r="RJE25" s="84"/>
      <c r="RJF25" s="84"/>
      <c r="RJG25" s="84"/>
      <c r="RJH25" s="84"/>
      <c r="RJI25" s="84"/>
      <c r="RJJ25" s="84"/>
      <c r="RJK25" s="84"/>
      <c r="RJL25" s="84"/>
      <c r="RJM25" s="84"/>
      <c r="RJN25" s="84"/>
      <c r="RJO25" s="84"/>
      <c r="RJP25" s="84"/>
      <c r="RJQ25" s="84"/>
      <c r="RJR25" s="84"/>
      <c r="RJS25" s="84"/>
      <c r="RJT25" s="84"/>
      <c r="RJU25" s="84"/>
      <c r="RJV25" s="84"/>
      <c r="RJW25" s="84"/>
      <c r="RJX25" s="84"/>
      <c r="RJY25" s="84"/>
      <c r="RJZ25" s="84"/>
      <c r="RKA25" s="84"/>
      <c r="RKB25" s="84"/>
      <c r="RKC25" s="84"/>
      <c r="RKD25" s="84"/>
      <c r="RKE25" s="84"/>
      <c r="RKF25" s="84"/>
      <c r="RKG25" s="84"/>
      <c r="RKH25" s="84"/>
      <c r="RKI25" s="84"/>
      <c r="RKJ25" s="84"/>
      <c r="RKK25" s="84"/>
      <c r="RKL25" s="84"/>
      <c r="RKM25" s="84"/>
      <c r="RKN25" s="84"/>
      <c r="RKO25" s="84"/>
      <c r="RKP25" s="84"/>
      <c r="RKQ25" s="84"/>
      <c r="RKR25" s="84"/>
      <c r="RKS25" s="84"/>
      <c r="RKT25" s="84"/>
      <c r="RKU25" s="84"/>
      <c r="RKV25" s="84"/>
      <c r="RKW25" s="84"/>
      <c r="RKX25" s="84"/>
      <c r="RKY25" s="84"/>
      <c r="RKZ25" s="84"/>
      <c r="RLA25" s="84"/>
      <c r="RLB25" s="84"/>
      <c r="RLC25" s="84"/>
      <c r="RLD25" s="84"/>
      <c r="RLE25" s="84"/>
      <c r="RLF25" s="84"/>
      <c r="RLG25" s="84"/>
      <c r="RLH25" s="84"/>
      <c r="RLI25" s="84"/>
      <c r="RLJ25" s="84"/>
      <c r="RLK25" s="84"/>
      <c r="RLL25" s="84"/>
      <c r="RLM25" s="84"/>
      <c r="RLN25" s="84"/>
      <c r="RLO25" s="84"/>
      <c r="RLP25" s="84"/>
      <c r="RLQ25" s="84"/>
      <c r="RLR25" s="84"/>
      <c r="RLS25" s="84"/>
      <c r="RLT25" s="84"/>
      <c r="RLU25" s="84"/>
      <c r="RLV25" s="84"/>
      <c r="RLW25" s="84"/>
      <c r="RLX25" s="84"/>
      <c r="RLY25" s="84"/>
      <c r="RLZ25" s="84"/>
      <c r="RMA25" s="84"/>
      <c r="RMB25" s="84"/>
      <c r="RMC25" s="84"/>
      <c r="RMD25" s="84"/>
      <c r="RME25" s="84"/>
      <c r="RMF25" s="84"/>
      <c r="RMG25" s="84"/>
      <c r="RMH25" s="84"/>
      <c r="RMI25" s="84"/>
      <c r="RMJ25" s="84"/>
      <c r="RMK25" s="84"/>
      <c r="RML25" s="84"/>
      <c r="RMM25" s="84"/>
      <c r="RMN25" s="84"/>
      <c r="RMO25" s="84"/>
      <c r="RMP25" s="84"/>
      <c r="RMQ25" s="84"/>
      <c r="RMR25" s="84"/>
      <c r="RMS25" s="84"/>
      <c r="RMT25" s="84"/>
      <c r="RMU25" s="84"/>
      <c r="RMV25" s="84"/>
      <c r="RMW25" s="84"/>
      <c r="RMX25" s="84"/>
      <c r="RMY25" s="84"/>
      <c r="RMZ25" s="84"/>
      <c r="RNA25" s="84"/>
      <c r="RNB25" s="84"/>
      <c r="RNC25" s="84"/>
      <c r="RND25" s="84"/>
      <c r="RNE25" s="84"/>
      <c r="RNF25" s="84"/>
      <c r="RNG25" s="84"/>
      <c r="RNH25" s="84"/>
      <c r="RNI25" s="84"/>
      <c r="RNJ25" s="84"/>
      <c r="RNK25" s="84"/>
      <c r="RNL25" s="84"/>
      <c r="RNM25" s="84"/>
      <c r="RNN25" s="84"/>
      <c r="RNO25" s="84"/>
      <c r="RNP25" s="84"/>
      <c r="RNQ25" s="84"/>
      <c r="RNR25" s="84"/>
      <c r="RNS25" s="84"/>
      <c r="RNT25" s="84"/>
      <c r="RNU25" s="84"/>
      <c r="RNV25" s="84"/>
      <c r="RNW25" s="84"/>
      <c r="RNX25" s="84"/>
      <c r="RNY25" s="84"/>
      <c r="RNZ25" s="84"/>
      <c r="ROA25" s="84"/>
      <c r="ROB25" s="84"/>
      <c r="ROC25" s="84"/>
      <c r="ROD25" s="84"/>
      <c r="ROE25" s="84"/>
      <c r="ROF25" s="84"/>
      <c r="ROG25" s="84"/>
      <c r="ROH25" s="84"/>
      <c r="ROI25" s="84"/>
      <c r="ROJ25" s="84"/>
      <c r="ROK25" s="84"/>
      <c r="ROL25" s="84"/>
      <c r="ROM25" s="84"/>
      <c r="RON25" s="84"/>
      <c r="ROO25" s="84"/>
      <c r="ROP25" s="84"/>
      <c r="ROQ25" s="84"/>
      <c r="ROR25" s="84"/>
      <c r="ROS25" s="84"/>
      <c r="ROT25" s="84"/>
      <c r="ROU25" s="84"/>
      <c r="ROV25" s="84"/>
      <c r="ROW25" s="84"/>
      <c r="ROX25" s="84"/>
      <c r="ROY25" s="84"/>
      <c r="ROZ25" s="84"/>
      <c r="RPA25" s="84"/>
      <c r="RPB25" s="84"/>
      <c r="RPC25" s="84"/>
      <c r="RPD25" s="84"/>
      <c r="RPE25" s="84"/>
      <c r="RPF25" s="84"/>
      <c r="RPG25" s="84"/>
      <c r="RPH25" s="84"/>
      <c r="RPI25" s="84"/>
      <c r="RPJ25" s="84"/>
      <c r="RPK25" s="84"/>
      <c r="RPL25" s="84"/>
      <c r="RPM25" s="84"/>
      <c r="RPN25" s="84"/>
      <c r="RPO25" s="84"/>
      <c r="RPP25" s="84"/>
      <c r="RPQ25" s="84"/>
      <c r="RPR25" s="84"/>
      <c r="RPS25" s="84"/>
      <c r="RPT25" s="84"/>
      <c r="RPU25" s="84"/>
      <c r="RPV25" s="84"/>
      <c r="RPW25" s="84"/>
      <c r="RPX25" s="84"/>
      <c r="RPY25" s="84"/>
      <c r="RPZ25" s="84"/>
      <c r="RQA25" s="84"/>
      <c r="RQB25" s="84"/>
      <c r="RQC25" s="84"/>
      <c r="RQD25" s="84"/>
      <c r="RQE25" s="84"/>
      <c r="RQF25" s="84"/>
      <c r="RQG25" s="84"/>
      <c r="RQH25" s="84"/>
      <c r="RQI25" s="84"/>
      <c r="RQJ25" s="84"/>
      <c r="RQK25" s="84"/>
      <c r="RQL25" s="84"/>
      <c r="RQM25" s="84"/>
      <c r="RQN25" s="84"/>
      <c r="RQO25" s="84"/>
      <c r="RQP25" s="84"/>
      <c r="RQQ25" s="84"/>
      <c r="RQR25" s="84"/>
      <c r="RQS25" s="84"/>
      <c r="RQT25" s="84"/>
      <c r="RQU25" s="84"/>
      <c r="RQV25" s="84"/>
      <c r="RQW25" s="84"/>
      <c r="RQX25" s="84"/>
      <c r="RQY25" s="84"/>
      <c r="RQZ25" s="84"/>
      <c r="RRA25" s="84"/>
      <c r="RRB25" s="84"/>
      <c r="RRC25" s="84"/>
      <c r="RRD25" s="84"/>
      <c r="RRE25" s="84"/>
      <c r="RRF25" s="84"/>
      <c r="RRG25" s="84"/>
      <c r="RRH25" s="84"/>
      <c r="RRI25" s="84"/>
      <c r="RRJ25" s="84"/>
      <c r="RRK25" s="84"/>
      <c r="RRL25" s="84"/>
      <c r="RRM25" s="84"/>
      <c r="RRN25" s="84"/>
      <c r="RRO25" s="84"/>
      <c r="RRP25" s="84"/>
      <c r="RRQ25" s="84"/>
      <c r="RRR25" s="84"/>
      <c r="RRS25" s="84"/>
      <c r="RRT25" s="84"/>
      <c r="RRU25" s="84"/>
      <c r="RRV25" s="84"/>
      <c r="RRW25" s="84"/>
      <c r="RRX25" s="84"/>
      <c r="RRY25" s="84"/>
      <c r="RRZ25" s="84"/>
      <c r="RSA25" s="84"/>
      <c r="RSB25" s="84"/>
      <c r="RSC25" s="84"/>
      <c r="RSD25" s="84"/>
      <c r="RSE25" s="84"/>
      <c r="RSF25" s="84"/>
      <c r="RSG25" s="84"/>
      <c r="RSH25" s="84"/>
      <c r="RSI25" s="84"/>
      <c r="RSJ25" s="84"/>
      <c r="RSK25" s="84"/>
      <c r="RSL25" s="84"/>
      <c r="RSM25" s="84"/>
      <c r="RSN25" s="84"/>
      <c r="RSO25" s="84"/>
      <c r="RSP25" s="84"/>
      <c r="RSQ25" s="84"/>
      <c r="RSR25" s="84"/>
      <c r="RSS25" s="84"/>
      <c r="RST25" s="84"/>
      <c r="RSU25" s="84"/>
      <c r="RSV25" s="84"/>
      <c r="RSW25" s="84"/>
      <c r="RSX25" s="84"/>
      <c r="RSY25" s="84"/>
      <c r="RSZ25" s="84"/>
      <c r="RTA25" s="84"/>
      <c r="RTB25" s="84"/>
      <c r="RTC25" s="84"/>
      <c r="RTD25" s="84"/>
      <c r="RTE25" s="84"/>
      <c r="RTF25" s="84"/>
      <c r="RTG25" s="84"/>
      <c r="RTH25" s="84"/>
      <c r="RTI25" s="84"/>
      <c r="RTJ25" s="84"/>
      <c r="RTK25" s="84"/>
      <c r="RTL25" s="84"/>
      <c r="RTM25" s="84"/>
      <c r="RTN25" s="84"/>
      <c r="RTO25" s="84"/>
      <c r="RTP25" s="84"/>
      <c r="RTQ25" s="84"/>
      <c r="RTR25" s="84"/>
      <c r="RTS25" s="84"/>
      <c r="RTT25" s="84"/>
      <c r="RTU25" s="84"/>
      <c r="RTV25" s="84"/>
      <c r="RTW25" s="84"/>
      <c r="RTX25" s="84"/>
      <c r="RTY25" s="84"/>
      <c r="RTZ25" s="84"/>
      <c r="RUA25" s="84"/>
      <c r="RUB25" s="84"/>
      <c r="RUC25" s="84"/>
      <c r="RUD25" s="84"/>
      <c r="RUE25" s="84"/>
      <c r="RUF25" s="84"/>
      <c r="RUG25" s="84"/>
      <c r="RUH25" s="84"/>
      <c r="RUI25" s="84"/>
      <c r="RUJ25" s="84"/>
      <c r="RUK25" s="84"/>
      <c r="RUL25" s="84"/>
      <c r="RUM25" s="84"/>
      <c r="RUN25" s="84"/>
      <c r="RUO25" s="84"/>
      <c r="RUP25" s="84"/>
      <c r="RUQ25" s="84"/>
      <c r="RUR25" s="84"/>
      <c r="RUS25" s="84"/>
      <c r="RUT25" s="84"/>
      <c r="RUU25" s="84"/>
      <c r="RUV25" s="84"/>
      <c r="RUW25" s="84"/>
      <c r="RUX25" s="84"/>
      <c r="RUY25" s="84"/>
      <c r="RUZ25" s="84"/>
      <c r="RVA25" s="84"/>
      <c r="RVB25" s="84"/>
      <c r="RVC25" s="84"/>
      <c r="RVD25" s="84"/>
      <c r="RVE25" s="84"/>
      <c r="RVF25" s="84"/>
      <c r="RVG25" s="84"/>
      <c r="RVH25" s="84"/>
      <c r="RVI25" s="84"/>
      <c r="RVJ25" s="84"/>
      <c r="RVK25" s="84"/>
      <c r="RVL25" s="84"/>
      <c r="RVM25" s="84"/>
      <c r="RVN25" s="84"/>
      <c r="RVO25" s="84"/>
      <c r="RVP25" s="84"/>
      <c r="RVQ25" s="84"/>
      <c r="RVR25" s="84"/>
      <c r="RVS25" s="84"/>
      <c r="RVT25" s="84"/>
      <c r="RVU25" s="84"/>
      <c r="RVV25" s="84"/>
      <c r="RVW25" s="84"/>
      <c r="RVX25" s="84"/>
      <c r="RVY25" s="84"/>
      <c r="RVZ25" s="84"/>
      <c r="RWA25" s="84"/>
      <c r="RWB25" s="84"/>
      <c r="RWC25" s="84"/>
      <c r="RWD25" s="84"/>
      <c r="RWE25" s="84"/>
      <c r="RWF25" s="84"/>
      <c r="RWG25" s="84"/>
      <c r="RWH25" s="84"/>
      <c r="RWI25" s="84"/>
      <c r="RWJ25" s="84"/>
      <c r="RWK25" s="84"/>
      <c r="RWL25" s="84"/>
      <c r="RWM25" s="84"/>
      <c r="RWN25" s="84"/>
      <c r="RWO25" s="84"/>
      <c r="RWP25" s="84"/>
      <c r="RWQ25" s="84"/>
      <c r="RWR25" s="84"/>
      <c r="RWS25" s="84"/>
      <c r="RWT25" s="84"/>
      <c r="RWU25" s="84"/>
      <c r="RWV25" s="84"/>
      <c r="RWW25" s="84"/>
      <c r="RWX25" s="84"/>
      <c r="RWY25" s="84"/>
      <c r="RWZ25" s="84"/>
      <c r="RXA25" s="84"/>
      <c r="RXB25" s="84"/>
      <c r="RXC25" s="84"/>
      <c r="RXD25" s="84"/>
      <c r="RXE25" s="84"/>
      <c r="RXF25" s="84"/>
      <c r="RXG25" s="84"/>
      <c r="RXH25" s="84"/>
      <c r="RXI25" s="84"/>
      <c r="RXJ25" s="84"/>
      <c r="RXK25" s="84"/>
      <c r="RXL25" s="84"/>
      <c r="RXM25" s="84"/>
      <c r="RXN25" s="84"/>
      <c r="RXO25" s="84"/>
      <c r="RXP25" s="84"/>
      <c r="RXQ25" s="84"/>
      <c r="RXR25" s="84"/>
      <c r="RXS25" s="84"/>
      <c r="RXT25" s="84"/>
      <c r="RXU25" s="84"/>
      <c r="RXV25" s="84"/>
      <c r="RXW25" s="84"/>
      <c r="RXX25" s="84"/>
      <c r="RXY25" s="84"/>
      <c r="RXZ25" s="84"/>
      <c r="RYA25" s="84"/>
      <c r="RYB25" s="84"/>
      <c r="RYC25" s="84"/>
      <c r="RYD25" s="84"/>
      <c r="RYE25" s="84"/>
      <c r="RYF25" s="84"/>
      <c r="RYG25" s="84"/>
      <c r="RYH25" s="84"/>
      <c r="RYI25" s="84"/>
      <c r="RYJ25" s="84"/>
      <c r="RYK25" s="84"/>
      <c r="RYL25" s="84"/>
      <c r="RYM25" s="84"/>
      <c r="RYN25" s="84"/>
      <c r="RYO25" s="84"/>
      <c r="RYP25" s="84"/>
      <c r="RYQ25" s="84"/>
      <c r="RYR25" s="84"/>
      <c r="RYS25" s="84"/>
      <c r="RYT25" s="84"/>
      <c r="RYU25" s="84"/>
      <c r="RYV25" s="84"/>
      <c r="RYW25" s="84"/>
      <c r="RYX25" s="84"/>
      <c r="RYY25" s="84"/>
      <c r="RYZ25" s="84"/>
      <c r="RZA25" s="84"/>
      <c r="RZB25" s="84"/>
      <c r="RZC25" s="84"/>
      <c r="RZD25" s="84"/>
      <c r="RZE25" s="84"/>
      <c r="RZF25" s="84"/>
      <c r="RZG25" s="84"/>
      <c r="RZH25" s="84"/>
      <c r="RZI25" s="84"/>
      <c r="RZJ25" s="84"/>
      <c r="RZK25" s="84"/>
      <c r="RZL25" s="84"/>
      <c r="RZM25" s="84"/>
      <c r="RZN25" s="84"/>
      <c r="RZO25" s="84"/>
      <c r="RZP25" s="84"/>
      <c r="RZQ25" s="84"/>
      <c r="RZR25" s="84"/>
      <c r="RZS25" s="84"/>
      <c r="RZT25" s="84"/>
      <c r="RZU25" s="84"/>
      <c r="RZV25" s="84"/>
      <c r="RZW25" s="84"/>
      <c r="RZX25" s="84"/>
      <c r="RZY25" s="84"/>
      <c r="RZZ25" s="84"/>
      <c r="SAA25" s="84"/>
      <c r="SAB25" s="84"/>
      <c r="SAC25" s="84"/>
      <c r="SAD25" s="84"/>
      <c r="SAE25" s="84"/>
      <c r="SAF25" s="84"/>
      <c r="SAG25" s="84"/>
      <c r="SAH25" s="84"/>
      <c r="SAI25" s="84"/>
      <c r="SAJ25" s="84"/>
      <c r="SAK25" s="84"/>
      <c r="SAL25" s="84"/>
      <c r="SAM25" s="84"/>
      <c r="SAN25" s="84"/>
      <c r="SAO25" s="84"/>
      <c r="SAP25" s="84"/>
      <c r="SAQ25" s="84"/>
      <c r="SAR25" s="84"/>
      <c r="SAS25" s="84"/>
      <c r="SAT25" s="84"/>
      <c r="SAU25" s="84"/>
      <c r="SAV25" s="84"/>
      <c r="SAW25" s="84"/>
      <c r="SAX25" s="84"/>
      <c r="SAY25" s="84"/>
      <c r="SAZ25" s="84"/>
      <c r="SBA25" s="84"/>
      <c r="SBB25" s="84"/>
      <c r="SBC25" s="84"/>
      <c r="SBD25" s="84"/>
      <c r="SBE25" s="84"/>
      <c r="SBF25" s="84"/>
      <c r="SBG25" s="84"/>
      <c r="SBH25" s="84"/>
      <c r="SBI25" s="84"/>
      <c r="SBJ25" s="84"/>
      <c r="SBK25" s="84"/>
      <c r="SBL25" s="84"/>
      <c r="SBM25" s="84"/>
      <c r="SBN25" s="84"/>
      <c r="SBO25" s="84"/>
      <c r="SBP25" s="84"/>
      <c r="SBQ25" s="84"/>
      <c r="SBR25" s="84"/>
      <c r="SBS25" s="84"/>
      <c r="SBT25" s="84"/>
      <c r="SBU25" s="84"/>
      <c r="SBV25" s="84"/>
      <c r="SBW25" s="84"/>
      <c r="SBX25" s="84"/>
      <c r="SBY25" s="84"/>
      <c r="SBZ25" s="84"/>
      <c r="SCA25" s="84"/>
      <c r="SCB25" s="84"/>
      <c r="SCC25" s="84"/>
      <c r="SCD25" s="84"/>
      <c r="SCE25" s="84"/>
      <c r="SCF25" s="84"/>
      <c r="SCG25" s="84"/>
      <c r="SCH25" s="84"/>
      <c r="SCI25" s="84"/>
      <c r="SCJ25" s="84"/>
      <c r="SCK25" s="84"/>
      <c r="SCL25" s="84"/>
      <c r="SCM25" s="84"/>
      <c r="SCN25" s="84"/>
      <c r="SCO25" s="84"/>
      <c r="SCP25" s="84"/>
      <c r="SCQ25" s="84"/>
      <c r="SCR25" s="84"/>
      <c r="SCS25" s="84"/>
      <c r="SCT25" s="84"/>
      <c r="SCU25" s="84"/>
      <c r="SCV25" s="84"/>
      <c r="SCW25" s="84"/>
      <c r="SCX25" s="84"/>
      <c r="SCY25" s="84"/>
      <c r="SCZ25" s="84"/>
      <c r="SDA25" s="84"/>
      <c r="SDB25" s="84"/>
      <c r="SDC25" s="84"/>
      <c r="SDD25" s="84"/>
      <c r="SDE25" s="84"/>
      <c r="SDF25" s="84"/>
      <c r="SDG25" s="84"/>
      <c r="SDH25" s="84"/>
      <c r="SDI25" s="84"/>
      <c r="SDJ25" s="84"/>
      <c r="SDK25" s="84"/>
      <c r="SDL25" s="84"/>
      <c r="SDM25" s="84"/>
      <c r="SDN25" s="84"/>
      <c r="SDO25" s="84"/>
      <c r="SDP25" s="84"/>
      <c r="SDQ25" s="84"/>
      <c r="SDR25" s="84"/>
      <c r="SDS25" s="84"/>
      <c r="SDT25" s="84"/>
      <c r="SDU25" s="84"/>
      <c r="SDV25" s="84"/>
      <c r="SDW25" s="84"/>
      <c r="SDX25" s="84"/>
      <c r="SDY25" s="84"/>
      <c r="SDZ25" s="84"/>
      <c r="SEA25" s="84"/>
      <c r="SEB25" s="84"/>
      <c r="SEC25" s="84"/>
      <c r="SED25" s="84"/>
      <c r="SEE25" s="84"/>
      <c r="SEF25" s="84"/>
      <c r="SEG25" s="84"/>
      <c r="SEH25" s="84"/>
      <c r="SEI25" s="84"/>
      <c r="SEJ25" s="84"/>
      <c r="SEK25" s="84"/>
      <c r="SEL25" s="84"/>
      <c r="SEM25" s="84"/>
      <c r="SEN25" s="84"/>
      <c r="SEO25" s="84"/>
      <c r="SEP25" s="84"/>
      <c r="SEQ25" s="84"/>
      <c r="SER25" s="84"/>
      <c r="SES25" s="84"/>
      <c r="SET25" s="84"/>
      <c r="SEU25" s="84"/>
      <c r="SEV25" s="84"/>
      <c r="SEW25" s="84"/>
      <c r="SEX25" s="84"/>
      <c r="SEY25" s="84"/>
      <c r="SEZ25" s="84"/>
      <c r="SFA25" s="84"/>
      <c r="SFB25" s="84"/>
      <c r="SFC25" s="84"/>
      <c r="SFD25" s="84"/>
      <c r="SFE25" s="84"/>
      <c r="SFF25" s="84"/>
      <c r="SFG25" s="84"/>
      <c r="SFH25" s="84"/>
      <c r="SFI25" s="84"/>
      <c r="SFJ25" s="84"/>
      <c r="SFK25" s="84"/>
      <c r="SFL25" s="84"/>
      <c r="SFM25" s="84"/>
      <c r="SFN25" s="84"/>
      <c r="SFO25" s="84"/>
      <c r="SFP25" s="84"/>
      <c r="SFQ25" s="84"/>
      <c r="SFR25" s="84"/>
      <c r="SFS25" s="84"/>
      <c r="SFT25" s="84"/>
      <c r="SFU25" s="84"/>
      <c r="SFV25" s="84"/>
      <c r="SFW25" s="84"/>
      <c r="SFX25" s="84"/>
      <c r="SFY25" s="84"/>
      <c r="SFZ25" s="84"/>
      <c r="SGA25" s="84"/>
      <c r="SGB25" s="84"/>
      <c r="SGC25" s="84"/>
      <c r="SGD25" s="84"/>
      <c r="SGE25" s="84"/>
      <c r="SGF25" s="84"/>
      <c r="SGG25" s="84"/>
      <c r="SGH25" s="84"/>
      <c r="SGI25" s="84"/>
      <c r="SGJ25" s="84"/>
      <c r="SGK25" s="84"/>
      <c r="SGL25" s="84"/>
      <c r="SGM25" s="84"/>
      <c r="SGN25" s="84"/>
      <c r="SGO25" s="84"/>
      <c r="SGP25" s="84"/>
      <c r="SGQ25" s="84"/>
      <c r="SGR25" s="84"/>
      <c r="SGS25" s="84"/>
      <c r="SGT25" s="84"/>
      <c r="SGU25" s="84"/>
      <c r="SGV25" s="84"/>
      <c r="SGW25" s="84"/>
      <c r="SGX25" s="84"/>
      <c r="SGY25" s="84"/>
      <c r="SGZ25" s="84"/>
      <c r="SHA25" s="84"/>
      <c r="SHB25" s="84"/>
      <c r="SHC25" s="84"/>
      <c r="SHD25" s="84"/>
      <c r="SHE25" s="84"/>
      <c r="SHF25" s="84"/>
      <c r="SHG25" s="84"/>
      <c r="SHH25" s="84"/>
      <c r="SHI25" s="84"/>
      <c r="SHJ25" s="84"/>
      <c r="SHK25" s="84"/>
      <c r="SHL25" s="84"/>
      <c r="SHM25" s="84"/>
      <c r="SHN25" s="84"/>
      <c r="SHO25" s="84"/>
      <c r="SHP25" s="84"/>
      <c r="SHQ25" s="84"/>
      <c r="SHR25" s="84"/>
      <c r="SHS25" s="84"/>
      <c r="SHT25" s="84"/>
      <c r="SHU25" s="84"/>
      <c r="SHV25" s="84"/>
      <c r="SHW25" s="84"/>
      <c r="SHX25" s="84"/>
      <c r="SHY25" s="84"/>
      <c r="SHZ25" s="84"/>
      <c r="SIA25" s="84"/>
      <c r="SIB25" s="84"/>
      <c r="SIC25" s="84"/>
      <c r="SID25" s="84"/>
      <c r="SIE25" s="84"/>
      <c r="SIF25" s="84"/>
      <c r="SIG25" s="84"/>
      <c r="SIH25" s="84"/>
      <c r="SII25" s="84"/>
      <c r="SIJ25" s="84"/>
      <c r="SIK25" s="84"/>
      <c r="SIL25" s="84"/>
      <c r="SIM25" s="84"/>
      <c r="SIN25" s="84"/>
      <c r="SIO25" s="84"/>
      <c r="SIP25" s="84"/>
      <c r="SIQ25" s="84"/>
      <c r="SIR25" s="84"/>
      <c r="SIS25" s="84"/>
      <c r="SIT25" s="84"/>
      <c r="SIU25" s="84"/>
      <c r="SIV25" s="84"/>
      <c r="SIW25" s="84"/>
      <c r="SIX25" s="84"/>
      <c r="SIY25" s="84"/>
      <c r="SIZ25" s="84"/>
      <c r="SJA25" s="84"/>
      <c r="SJB25" s="84"/>
      <c r="SJC25" s="84"/>
      <c r="SJD25" s="84"/>
      <c r="SJE25" s="84"/>
      <c r="SJF25" s="84"/>
      <c r="SJG25" s="84"/>
      <c r="SJH25" s="84"/>
      <c r="SJI25" s="84"/>
      <c r="SJJ25" s="84"/>
      <c r="SJK25" s="84"/>
      <c r="SJL25" s="84"/>
      <c r="SJM25" s="84"/>
      <c r="SJN25" s="84"/>
      <c r="SJO25" s="84"/>
      <c r="SJP25" s="84"/>
      <c r="SJQ25" s="84"/>
      <c r="SJR25" s="84"/>
      <c r="SJS25" s="84"/>
      <c r="SJT25" s="84"/>
      <c r="SJU25" s="84"/>
      <c r="SJV25" s="84"/>
      <c r="SJW25" s="84"/>
      <c r="SJX25" s="84"/>
      <c r="SJY25" s="84"/>
      <c r="SJZ25" s="84"/>
      <c r="SKA25" s="84"/>
      <c r="SKB25" s="84"/>
      <c r="SKC25" s="84"/>
      <c r="SKD25" s="84"/>
      <c r="SKE25" s="84"/>
      <c r="SKF25" s="84"/>
      <c r="SKG25" s="84"/>
      <c r="SKH25" s="84"/>
      <c r="SKI25" s="84"/>
      <c r="SKJ25" s="84"/>
      <c r="SKK25" s="84"/>
      <c r="SKL25" s="84"/>
      <c r="SKM25" s="84"/>
      <c r="SKN25" s="84"/>
      <c r="SKO25" s="84"/>
      <c r="SKP25" s="84"/>
      <c r="SKQ25" s="84"/>
      <c r="SKR25" s="84"/>
      <c r="SKS25" s="84"/>
      <c r="SKT25" s="84"/>
      <c r="SKU25" s="84"/>
      <c r="SKV25" s="84"/>
      <c r="SKW25" s="84"/>
      <c r="SKX25" s="84"/>
      <c r="SKY25" s="84"/>
      <c r="SKZ25" s="84"/>
      <c r="SLA25" s="84"/>
      <c r="SLB25" s="84"/>
      <c r="SLC25" s="84"/>
      <c r="SLD25" s="84"/>
      <c r="SLE25" s="84"/>
      <c r="SLF25" s="84"/>
      <c r="SLG25" s="84"/>
      <c r="SLH25" s="84"/>
      <c r="SLI25" s="84"/>
      <c r="SLJ25" s="84"/>
      <c r="SLK25" s="84"/>
      <c r="SLL25" s="84"/>
      <c r="SLM25" s="84"/>
      <c r="SLN25" s="84"/>
      <c r="SLO25" s="84"/>
      <c r="SLP25" s="84"/>
      <c r="SLQ25" s="84"/>
      <c r="SLR25" s="84"/>
      <c r="SLS25" s="84"/>
      <c r="SLT25" s="84"/>
      <c r="SLU25" s="84"/>
      <c r="SLV25" s="84"/>
      <c r="SLW25" s="84"/>
      <c r="SLX25" s="84"/>
      <c r="SLY25" s="84"/>
      <c r="SLZ25" s="84"/>
      <c r="SMA25" s="84"/>
      <c r="SMB25" s="84"/>
      <c r="SMC25" s="84"/>
      <c r="SMD25" s="84"/>
      <c r="SME25" s="84"/>
      <c r="SMF25" s="84"/>
      <c r="SMG25" s="84"/>
      <c r="SMH25" s="84"/>
      <c r="SMI25" s="84"/>
      <c r="SMJ25" s="84"/>
      <c r="SMK25" s="84"/>
      <c r="SML25" s="84"/>
      <c r="SMM25" s="84"/>
      <c r="SMN25" s="84"/>
      <c r="SMO25" s="84"/>
      <c r="SMP25" s="84"/>
      <c r="SMQ25" s="84"/>
      <c r="SMR25" s="84"/>
      <c r="SMS25" s="84"/>
      <c r="SMT25" s="84"/>
      <c r="SMU25" s="84"/>
      <c r="SMV25" s="84"/>
      <c r="SMW25" s="84"/>
      <c r="SMX25" s="84"/>
      <c r="SMY25" s="84"/>
      <c r="SMZ25" s="84"/>
      <c r="SNA25" s="84"/>
      <c r="SNB25" s="84"/>
      <c r="SNC25" s="84"/>
      <c r="SND25" s="84"/>
      <c r="SNE25" s="84"/>
      <c r="SNF25" s="84"/>
      <c r="SNG25" s="84"/>
      <c r="SNH25" s="84"/>
      <c r="SNI25" s="84"/>
      <c r="SNJ25" s="84"/>
      <c r="SNK25" s="84"/>
      <c r="SNL25" s="84"/>
      <c r="SNM25" s="84"/>
      <c r="SNN25" s="84"/>
      <c r="SNO25" s="84"/>
      <c r="SNP25" s="84"/>
      <c r="SNQ25" s="84"/>
      <c r="SNR25" s="84"/>
      <c r="SNS25" s="84"/>
      <c r="SNT25" s="84"/>
      <c r="SNU25" s="84"/>
      <c r="SNV25" s="84"/>
      <c r="SNW25" s="84"/>
      <c r="SNX25" s="84"/>
      <c r="SNY25" s="84"/>
      <c r="SNZ25" s="84"/>
      <c r="SOA25" s="84"/>
      <c r="SOB25" s="84"/>
      <c r="SOC25" s="84"/>
      <c r="SOD25" s="84"/>
      <c r="SOE25" s="84"/>
      <c r="SOF25" s="84"/>
      <c r="SOG25" s="84"/>
      <c r="SOH25" s="84"/>
      <c r="SOI25" s="84"/>
      <c r="SOJ25" s="84"/>
      <c r="SOK25" s="84"/>
      <c r="SOL25" s="84"/>
      <c r="SOM25" s="84"/>
      <c r="SON25" s="84"/>
      <c r="SOO25" s="84"/>
      <c r="SOP25" s="84"/>
      <c r="SOQ25" s="84"/>
      <c r="SOR25" s="84"/>
      <c r="SOS25" s="84"/>
      <c r="SOT25" s="84"/>
      <c r="SOU25" s="84"/>
      <c r="SOV25" s="84"/>
      <c r="SOW25" s="84"/>
      <c r="SOX25" s="84"/>
      <c r="SOY25" s="84"/>
      <c r="SOZ25" s="84"/>
      <c r="SPA25" s="84"/>
      <c r="SPB25" s="84"/>
      <c r="SPC25" s="84"/>
      <c r="SPD25" s="84"/>
      <c r="SPE25" s="84"/>
      <c r="SPF25" s="84"/>
      <c r="SPG25" s="84"/>
      <c r="SPH25" s="84"/>
      <c r="SPI25" s="84"/>
      <c r="SPJ25" s="84"/>
      <c r="SPK25" s="84"/>
      <c r="SPL25" s="84"/>
      <c r="SPM25" s="84"/>
      <c r="SPN25" s="84"/>
      <c r="SPO25" s="84"/>
      <c r="SPP25" s="84"/>
      <c r="SPQ25" s="84"/>
      <c r="SPR25" s="84"/>
      <c r="SPS25" s="84"/>
      <c r="SPT25" s="84"/>
      <c r="SPU25" s="84"/>
      <c r="SPV25" s="84"/>
      <c r="SPW25" s="84"/>
      <c r="SPX25" s="84"/>
      <c r="SPY25" s="84"/>
      <c r="SPZ25" s="84"/>
      <c r="SQA25" s="84"/>
      <c r="SQB25" s="84"/>
      <c r="SQC25" s="84"/>
      <c r="SQD25" s="84"/>
      <c r="SQE25" s="84"/>
      <c r="SQF25" s="84"/>
      <c r="SQG25" s="84"/>
      <c r="SQH25" s="84"/>
      <c r="SQI25" s="84"/>
      <c r="SQJ25" s="84"/>
      <c r="SQK25" s="84"/>
      <c r="SQL25" s="84"/>
      <c r="SQM25" s="84"/>
      <c r="SQN25" s="84"/>
      <c r="SQO25" s="84"/>
      <c r="SQP25" s="84"/>
      <c r="SQQ25" s="84"/>
      <c r="SQR25" s="84"/>
      <c r="SQS25" s="84"/>
      <c r="SQT25" s="84"/>
      <c r="SQU25" s="84"/>
      <c r="SQV25" s="84"/>
      <c r="SQW25" s="84"/>
      <c r="SQX25" s="84"/>
      <c r="SQY25" s="84"/>
      <c r="SQZ25" s="84"/>
      <c r="SRA25" s="84"/>
      <c r="SRB25" s="84"/>
      <c r="SRC25" s="84"/>
      <c r="SRD25" s="84"/>
      <c r="SRE25" s="84"/>
      <c r="SRF25" s="84"/>
      <c r="SRG25" s="84"/>
      <c r="SRH25" s="84"/>
      <c r="SRI25" s="84"/>
      <c r="SRJ25" s="84"/>
      <c r="SRK25" s="84"/>
      <c r="SRL25" s="84"/>
      <c r="SRM25" s="84"/>
      <c r="SRN25" s="84"/>
      <c r="SRO25" s="84"/>
      <c r="SRP25" s="84"/>
      <c r="SRQ25" s="84"/>
      <c r="SRR25" s="84"/>
      <c r="SRS25" s="84"/>
      <c r="SRT25" s="84"/>
      <c r="SRU25" s="84"/>
      <c r="SRV25" s="84"/>
      <c r="SRW25" s="84"/>
      <c r="SRX25" s="84"/>
      <c r="SRY25" s="84"/>
      <c r="SRZ25" s="84"/>
      <c r="SSA25" s="84"/>
      <c r="SSB25" s="84"/>
      <c r="SSC25" s="84"/>
      <c r="SSD25" s="84"/>
      <c r="SSE25" s="84"/>
      <c r="SSF25" s="84"/>
      <c r="SSG25" s="84"/>
      <c r="SSH25" s="84"/>
      <c r="SSI25" s="84"/>
      <c r="SSJ25" s="84"/>
      <c r="SSK25" s="84"/>
      <c r="SSL25" s="84"/>
      <c r="SSM25" s="84"/>
      <c r="SSN25" s="84"/>
      <c r="SSO25" s="84"/>
      <c r="SSP25" s="84"/>
      <c r="SSQ25" s="84"/>
      <c r="SSR25" s="84"/>
      <c r="SSS25" s="84"/>
      <c r="SST25" s="84"/>
      <c r="SSU25" s="84"/>
      <c r="SSV25" s="84"/>
      <c r="SSW25" s="84"/>
      <c r="SSX25" s="84"/>
      <c r="SSY25" s="84"/>
      <c r="SSZ25" s="84"/>
      <c r="STA25" s="84"/>
      <c r="STB25" s="84"/>
      <c r="STC25" s="84"/>
      <c r="STD25" s="84"/>
      <c r="STE25" s="84"/>
      <c r="STF25" s="84"/>
      <c r="STG25" s="84"/>
      <c r="STH25" s="84"/>
      <c r="STI25" s="84"/>
      <c r="STJ25" s="84"/>
      <c r="STK25" s="84"/>
      <c r="STL25" s="84"/>
      <c r="STM25" s="84"/>
      <c r="STN25" s="84"/>
      <c r="STO25" s="84"/>
      <c r="STP25" s="84"/>
      <c r="STQ25" s="84"/>
      <c r="STR25" s="84"/>
      <c r="STS25" s="84"/>
      <c r="STT25" s="84"/>
      <c r="STU25" s="84"/>
      <c r="STV25" s="84"/>
      <c r="STW25" s="84"/>
      <c r="STX25" s="84"/>
      <c r="STY25" s="84"/>
      <c r="STZ25" s="84"/>
      <c r="SUA25" s="84"/>
      <c r="SUB25" s="84"/>
      <c r="SUC25" s="84"/>
      <c r="SUD25" s="84"/>
      <c r="SUE25" s="84"/>
      <c r="SUF25" s="84"/>
      <c r="SUG25" s="84"/>
      <c r="SUH25" s="84"/>
      <c r="SUI25" s="84"/>
      <c r="SUJ25" s="84"/>
      <c r="SUK25" s="84"/>
      <c r="SUL25" s="84"/>
      <c r="SUM25" s="84"/>
      <c r="SUN25" s="84"/>
      <c r="SUO25" s="84"/>
      <c r="SUP25" s="84"/>
      <c r="SUQ25" s="84"/>
      <c r="SUR25" s="84"/>
      <c r="SUS25" s="84"/>
      <c r="SUT25" s="84"/>
      <c r="SUU25" s="84"/>
      <c r="SUV25" s="84"/>
      <c r="SUW25" s="84"/>
      <c r="SUX25" s="84"/>
      <c r="SUY25" s="84"/>
      <c r="SUZ25" s="84"/>
      <c r="SVA25" s="84"/>
      <c r="SVB25" s="84"/>
      <c r="SVC25" s="84"/>
      <c r="SVD25" s="84"/>
      <c r="SVE25" s="84"/>
      <c r="SVF25" s="84"/>
      <c r="SVG25" s="84"/>
      <c r="SVH25" s="84"/>
      <c r="SVI25" s="84"/>
      <c r="SVJ25" s="84"/>
      <c r="SVK25" s="84"/>
      <c r="SVL25" s="84"/>
      <c r="SVM25" s="84"/>
      <c r="SVN25" s="84"/>
      <c r="SVO25" s="84"/>
      <c r="SVP25" s="84"/>
      <c r="SVQ25" s="84"/>
      <c r="SVR25" s="84"/>
      <c r="SVS25" s="84"/>
      <c r="SVT25" s="84"/>
      <c r="SVU25" s="84"/>
      <c r="SVV25" s="84"/>
      <c r="SVW25" s="84"/>
      <c r="SVX25" s="84"/>
      <c r="SVY25" s="84"/>
      <c r="SVZ25" s="84"/>
      <c r="SWA25" s="84"/>
      <c r="SWB25" s="84"/>
      <c r="SWC25" s="84"/>
      <c r="SWD25" s="84"/>
      <c r="SWE25" s="84"/>
      <c r="SWF25" s="84"/>
      <c r="SWG25" s="84"/>
      <c r="SWH25" s="84"/>
      <c r="SWI25" s="84"/>
      <c r="SWJ25" s="84"/>
      <c r="SWK25" s="84"/>
      <c r="SWL25" s="84"/>
      <c r="SWM25" s="84"/>
      <c r="SWN25" s="84"/>
      <c r="SWO25" s="84"/>
      <c r="SWP25" s="84"/>
      <c r="SWQ25" s="84"/>
      <c r="SWR25" s="84"/>
      <c r="SWS25" s="84"/>
      <c r="SWT25" s="84"/>
      <c r="SWU25" s="84"/>
      <c r="SWV25" s="84"/>
      <c r="SWW25" s="84"/>
      <c r="SWX25" s="84"/>
      <c r="SWY25" s="84"/>
      <c r="SWZ25" s="84"/>
      <c r="SXA25" s="84"/>
      <c r="SXB25" s="84"/>
      <c r="SXC25" s="84"/>
      <c r="SXD25" s="84"/>
      <c r="SXE25" s="84"/>
      <c r="SXF25" s="84"/>
      <c r="SXG25" s="84"/>
      <c r="SXH25" s="84"/>
      <c r="SXI25" s="84"/>
      <c r="SXJ25" s="84"/>
      <c r="SXK25" s="84"/>
      <c r="SXL25" s="84"/>
      <c r="SXM25" s="84"/>
      <c r="SXN25" s="84"/>
      <c r="SXO25" s="84"/>
      <c r="SXP25" s="84"/>
      <c r="SXQ25" s="84"/>
      <c r="SXR25" s="84"/>
      <c r="SXS25" s="84"/>
      <c r="SXT25" s="84"/>
      <c r="SXU25" s="84"/>
      <c r="SXV25" s="84"/>
      <c r="SXW25" s="84"/>
      <c r="SXX25" s="84"/>
      <c r="SXY25" s="84"/>
      <c r="SXZ25" s="84"/>
      <c r="SYA25" s="84"/>
      <c r="SYB25" s="84"/>
      <c r="SYC25" s="84"/>
      <c r="SYD25" s="84"/>
      <c r="SYE25" s="84"/>
      <c r="SYF25" s="84"/>
      <c r="SYG25" s="84"/>
      <c r="SYH25" s="84"/>
      <c r="SYI25" s="84"/>
      <c r="SYJ25" s="84"/>
      <c r="SYK25" s="84"/>
      <c r="SYL25" s="84"/>
      <c r="SYM25" s="84"/>
      <c r="SYN25" s="84"/>
      <c r="SYO25" s="84"/>
      <c r="SYP25" s="84"/>
      <c r="SYQ25" s="84"/>
      <c r="SYR25" s="84"/>
      <c r="SYS25" s="84"/>
      <c r="SYT25" s="84"/>
      <c r="SYU25" s="84"/>
      <c r="SYV25" s="84"/>
      <c r="SYW25" s="84"/>
      <c r="SYX25" s="84"/>
      <c r="SYY25" s="84"/>
      <c r="SYZ25" s="84"/>
      <c r="SZA25" s="84"/>
      <c r="SZB25" s="84"/>
      <c r="SZC25" s="84"/>
      <c r="SZD25" s="84"/>
      <c r="SZE25" s="84"/>
      <c r="SZF25" s="84"/>
      <c r="SZG25" s="84"/>
      <c r="SZH25" s="84"/>
      <c r="SZI25" s="84"/>
      <c r="SZJ25" s="84"/>
      <c r="SZK25" s="84"/>
      <c r="SZL25" s="84"/>
      <c r="SZM25" s="84"/>
      <c r="SZN25" s="84"/>
      <c r="SZO25" s="84"/>
      <c r="SZP25" s="84"/>
      <c r="SZQ25" s="84"/>
      <c r="SZR25" s="84"/>
      <c r="SZS25" s="84"/>
      <c r="SZT25" s="84"/>
      <c r="SZU25" s="84"/>
      <c r="SZV25" s="84"/>
      <c r="SZW25" s="84"/>
      <c r="SZX25" s="84"/>
      <c r="SZY25" s="84"/>
      <c r="SZZ25" s="84"/>
      <c r="TAA25" s="84"/>
      <c r="TAB25" s="84"/>
      <c r="TAC25" s="84"/>
      <c r="TAD25" s="84"/>
      <c r="TAE25" s="84"/>
      <c r="TAF25" s="84"/>
      <c r="TAG25" s="84"/>
      <c r="TAH25" s="84"/>
      <c r="TAI25" s="84"/>
      <c r="TAJ25" s="84"/>
      <c r="TAK25" s="84"/>
      <c r="TAL25" s="84"/>
      <c r="TAM25" s="84"/>
      <c r="TAN25" s="84"/>
      <c r="TAO25" s="84"/>
      <c r="TAP25" s="84"/>
      <c r="TAQ25" s="84"/>
      <c r="TAR25" s="84"/>
      <c r="TAS25" s="84"/>
      <c r="TAT25" s="84"/>
      <c r="TAU25" s="84"/>
      <c r="TAV25" s="84"/>
      <c r="TAW25" s="84"/>
      <c r="TAX25" s="84"/>
      <c r="TAY25" s="84"/>
      <c r="TAZ25" s="84"/>
      <c r="TBA25" s="84"/>
      <c r="TBB25" s="84"/>
      <c r="TBC25" s="84"/>
      <c r="TBD25" s="84"/>
      <c r="TBE25" s="84"/>
      <c r="TBF25" s="84"/>
      <c r="TBG25" s="84"/>
      <c r="TBH25" s="84"/>
      <c r="TBI25" s="84"/>
      <c r="TBJ25" s="84"/>
      <c r="TBK25" s="84"/>
      <c r="TBL25" s="84"/>
      <c r="TBM25" s="84"/>
      <c r="TBN25" s="84"/>
      <c r="TBO25" s="84"/>
      <c r="TBP25" s="84"/>
      <c r="TBQ25" s="84"/>
      <c r="TBR25" s="84"/>
      <c r="TBS25" s="84"/>
      <c r="TBT25" s="84"/>
      <c r="TBU25" s="84"/>
      <c r="TBV25" s="84"/>
      <c r="TBW25" s="84"/>
      <c r="TBX25" s="84"/>
      <c r="TBY25" s="84"/>
      <c r="TBZ25" s="84"/>
      <c r="TCA25" s="84"/>
      <c r="TCB25" s="84"/>
      <c r="TCC25" s="84"/>
      <c r="TCD25" s="84"/>
      <c r="TCE25" s="84"/>
      <c r="TCF25" s="84"/>
      <c r="TCG25" s="84"/>
      <c r="TCH25" s="84"/>
      <c r="TCI25" s="84"/>
      <c r="TCJ25" s="84"/>
      <c r="TCK25" s="84"/>
      <c r="TCL25" s="84"/>
      <c r="TCM25" s="84"/>
      <c r="TCN25" s="84"/>
      <c r="TCO25" s="84"/>
      <c r="TCP25" s="84"/>
      <c r="TCQ25" s="84"/>
      <c r="TCR25" s="84"/>
      <c r="TCS25" s="84"/>
      <c r="TCT25" s="84"/>
      <c r="TCU25" s="84"/>
      <c r="TCV25" s="84"/>
      <c r="TCW25" s="84"/>
      <c r="TCX25" s="84"/>
      <c r="TCY25" s="84"/>
      <c r="TCZ25" s="84"/>
      <c r="TDA25" s="84"/>
      <c r="TDB25" s="84"/>
      <c r="TDC25" s="84"/>
      <c r="TDD25" s="84"/>
      <c r="TDE25" s="84"/>
      <c r="TDF25" s="84"/>
      <c r="TDG25" s="84"/>
      <c r="TDH25" s="84"/>
      <c r="TDI25" s="84"/>
      <c r="TDJ25" s="84"/>
      <c r="TDK25" s="84"/>
      <c r="TDL25" s="84"/>
      <c r="TDM25" s="84"/>
      <c r="TDN25" s="84"/>
      <c r="TDO25" s="84"/>
      <c r="TDP25" s="84"/>
      <c r="TDQ25" s="84"/>
      <c r="TDR25" s="84"/>
      <c r="TDS25" s="84"/>
      <c r="TDT25" s="84"/>
      <c r="TDU25" s="84"/>
      <c r="TDV25" s="84"/>
      <c r="TDW25" s="84"/>
      <c r="TDX25" s="84"/>
      <c r="TDY25" s="84"/>
      <c r="TDZ25" s="84"/>
      <c r="TEA25" s="84"/>
      <c r="TEB25" s="84"/>
      <c r="TEC25" s="84"/>
      <c r="TED25" s="84"/>
      <c r="TEE25" s="84"/>
      <c r="TEF25" s="84"/>
      <c r="TEG25" s="84"/>
      <c r="TEH25" s="84"/>
      <c r="TEI25" s="84"/>
      <c r="TEJ25" s="84"/>
      <c r="TEK25" s="84"/>
      <c r="TEL25" s="84"/>
      <c r="TEM25" s="84"/>
      <c r="TEN25" s="84"/>
      <c r="TEO25" s="84"/>
      <c r="TEP25" s="84"/>
      <c r="TEQ25" s="84"/>
      <c r="TER25" s="84"/>
      <c r="TES25" s="84"/>
      <c r="TET25" s="84"/>
      <c r="TEU25" s="84"/>
      <c r="TEV25" s="84"/>
      <c r="TEW25" s="84"/>
      <c r="TEX25" s="84"/>
      <c r="TEY25" s="84"/>
      <c r="TEZ25" s="84"/>
      <c r="TFA25" s="84"/>
      <c r="TFB25" s="84"/>
      <c r="TFC25" s="84"/>
      <c r="TFD25" s="84"/>
      <c r="TFE25" s="84"/>
      <c r="TFF25" s="84"/>
      <c r="TFG25" s="84"/>
      <c r="TFH25" s="84"/>
      <c r="TFI25" s="84"/>
      <c r="TFJ25" s="84"/>
      <c r="TFK25" s="84"/>
      <c r="TFL25" s="84"/>
      <c r="TFM25" s="84"/>
      <c r="TFN25" s="84"/>
      <c r="TFO25" s="84"/>
      <c r="TFP25" s="84"/>
      <c r="TFQ25" s="84"/>
      <c r="TFR25" s="84"/>
      <c r="TFS25" s="84"/>
      <c r="TFT25" s="84"/>
      <c r="TFU25" s="84"/>
      <c r="TFV25" s="84"/>
      <c r="TFW25" s="84"/>
      <c r="TFX25" s="84"/>
      <c r="TFY25" s="84"/>
      <c r="TFZ25" s="84"/>
      <c r="TGA25" s="84"/>
      <c r="TGB25" s="84"/>
      <c r="TGC25" s="84"/>
      <c r="TGD25" s="84"/>
      <c r="TGE25" s="84"/>
      <c r="TGF25" s="84"/>
      <c r="TGG25" s="84"/>
      <c r="TGH25" s="84"/>
      <c r="TGI25" s="84"/>
      <c r="TGJ25" s="84"/>
      <c r="TGK25" s="84"/>
      <c r="TGL25" s="84"/>
      <c r="TGM25" s="84"/>
      <c r="TGN25" s="84"/>
      <c r="TGO25" s="84"/>
      <c r="TGP25" s="84"/>
      <c r="TGQ25" s="84"/>
      <c r="TGR25" s="84"/>
      <c r="TGS25" s="84"/>
      <c r="TGT25" s="84"/>
      <c r="TGU25" s="84"/>
      <c r="TGV25" s="84"/>
      <c r="TGW25" s="84"/>
      <c r="TGX25" s="84"/>
      <c r="TGY25" s="84"/>
      <c r="TGZ25" s="84"/>
      <c r="THA25" s="84"/>
      <c r="THB25" s="84"/>
      <c r="THC25" s="84"/>
      <c r="THD25" s="84"/>
      <c r="THE25" s="84"/>
      <c r="THF25" s="84"/>
      <c r="THG25" s="84"/>
      <c r="THH25" s="84"/>
      <c r="THI25" s="84"/>
      <c r="THJ25" s="84"/>
      <c r="THK25" s="84"/>
      <c r="THL25" s="84"/>
      <c r="THM25" s="84"/>
      <c r="THN25" s="84"/>
      <c r="THO25" s="84"/>
      <c r="THP25" s="84"/>
      <c r="THQ25" s="84"/>
      <c r="THR25" s="84"/>
      <c r="THS25" s="84"/>
      <c r="THT25" s="84"/>
      <c r="THU25" s="84"/>
      <c r="THV25" s="84"/>
      <c r="THW25" s="84"/>
      <c r="THX25" s="84"/>
      <c r="THY25" s="84"/>
      <c r="THZ25" s="84"/>
      <c r="TIA25" s="84"/>
      <c r="TIB25" s="84"/>
      <c r="TIC25" s="84"/>
      <c r="TID25" s="84"/>
      <c r="TIE25" s="84"/>
      <c r="TIF25" s="84"/>
      <c r="TIG25" s="84"/>
      <c r="TIH25" s="84"/>
      <c r="TII25" s="84"/>
      <c r="TIJ25" s="84"/>
      <c r="TIK25" s="84"/>
      <c r="TIL25" s="84"/>
      <c r="TIM25" s="84"/>
      <c r="TIN25" s="84"/>
      <c r="TIO25" s="84"/>
      <c r="TIP25" s="84"/>
      <c r="TIQ25" s="84"/>
      <c r="TIR25" s="84"/>
      <c r="TIS25" s="84"/>
      <c r="TIT25" s="84"/>
      <c r="TIU25" s="84"/>
      <c r="TIV25" s="84"/>
      <c r="TIW25" s="84"/>
      <c r="TIX25" s="84"/>
      <c r="TIY25" s="84"/>
      <c r="TIZ25" s="84"/>
      <c r="TJA25" s="84"/>
      <c r="TJB25" s="84"/>
      <c r="TJC25" s="84"/>
      <c r="TJD25" s="84"/>
      <c r="TJE25" s="84"/>
      <c r="TJF25" s="84"/>
      <c r="TJG25" s="84"/>
      <c r="TJH25" s="84"/>
      <c r="TJI25" s="84"/>
      <c r="TJJ25" s="84"/>
      <c r="TJK25" s="84"/>
      <c r="TJL25" s="84"/>
      <c r="TJM25" s="84"/>
      <c r="TJN25" s="84"/>
      <c r="TJO25" s="84"/>
      <c r="TJP25" s="84"/>
      <c r="TJQ25" s="84"/>
      <c r="TJR25" s="84"/>
      <c r="TJS25" s="84"/>
      <c r="TJT25" s="84"/>
      <c r="TJU25" s="84"/>
      <c r="TJV25" s="84"/>
      <c r="TJW25" s="84"/>
      <c r="TJX25" s="84"/>
      <c r="TJY25" s="84"/>
      <c r="TJZ25" s="84"/>
      <c r="TKA25" s="84"/>
      <c r="TKB25" s="84"/>
      <c r="TKC25" s="84"/>
      <c r="TKD25" s="84"/>
      <c r="TKE25" s="84"/>
      <c r="TKF25" s="84"/>
      <c r="TKG25" s="84"/>
      <c r="TKH25" s="84"/>
      <c r="TKI25" s="84"/>
      <c r="TKJ25" s="84"/>
      <c r="TKK25" s="84"/>
      <c r="TKL25" s="84"/>
      <c r="TKM25" s="84"/>
      <c r="TKN25" s="84"/>
      <c r="TKO25" s="84"/>
      <c r="TKP25" s="84"/>
      <c r="TKQ25" s="84"/>
      <c r="TKR25" s="84"/>
      <c r="TKS25" s="84"/>
      <c r="TKT25" s="84"/>
      <c r="TKU25" s="84"/>
      <c r="TKV25" s="84"/>
      <c r="TKW25" s="84"/>
      <c r="TKX25" s="84"/>
      <c r="TKY25" s="84"/>
      <c r="TKZ25" s="84"/>
      <c r="TLA25" s="84"/>
      <c r="TLB25" s="84"/>
      <c r="TLC25" s="84"/>
      <c r="TLD25" s="84"/>
      <c r="TLE25" s="84"/>
      <c r="TLF25" s="84"/>
      <c r="TLG25" s="84"/>
      <c r="TLH25" s="84"/>
      <c r="TLI25" s="84"/>
      <c r="TLJ25" s="84"/>
      <c r="TLK25" s="84"/>
      <c r="TLL25" s="84"/>
      <c r="TLM25" s="84"/>
      <c r="TLN25" s="84"/>
      <c r="TLO25" s="84"/>
      <c r="TLP25" s="84"/>
      <c r="TLQ25" s="84"/>
      <c r="TLR25" s="84"/>
      <c r="TLS25" s="84"/>
      <c r="TLT25" s="84"/>
      <c r="TLU25" s="84"/>
      <c r="TLV25" s="84"/>
      <c r="TLW25" s="84"/>
      <c r="TLX25" s="84"/>
      <c r="TLY25" s="84"/>
      <c r="TLZ25" s="84"/>
      <c r="TMA25" s="84"/>
      <c r="TMB25" s="84"/>
      <c r="TMC25" s="84"/>
      <c r="TMD25" s="84"/>
      <c r="TME25" s="84"/>
      <c r="TMF25" s="84"/>
      <c r="TMG25" s="84"/>
      <c r="TMH25" s="84"/>
      <c r="TMI25" s="84"/>
      <c r="TMJ25" s="84"/>
      <c r="TMK25" s="84"/>
      <c r="TML25" s="84"/>
      <c r="TMM25" s="84"/>
      <c r="TMN25" s="84"/>
      <c r="TMO25" s="84"/>
      <c r="TMP25" s="84"/>
      <c r="TMQ25" s="84"/>
      <c r="TMR25" s="84"/>
      <c r="TMS25" s="84"/>
      <c r="TMT25" s="84"/>
      <c r="TMU25" s="84"/>
      <c r="TMV25" s="84"/>
      <c r="TMW25" s="84"/>
      <c r="TMX25" s="84"/>
      <c r="TMY25" s="84"/>
      <c r="TMZ25" s="84"/>
      <c r="TNA25" s="84"/>
      <c r="TNB25" s="84"/>
      <c r="TNC25" s="84"/>
      <c r="TND25" s="84"/>
      <c r="TNE25" s="84"/>
      <c r="TNF25" s="84"/>
      <c r="TNG25" s="84"/>
      <c r="TNH25" s="84"/>
      <c r="TNI25" s="84"/>
      <c r="TNJ25" s="84"/>
      <c r="TNK25" s="84"/>
      <c r="TNL25" s="84"/>
      <c r="TNM25" s="84"/>
      <c r="TNN25" s="84"/>
      <c r="TNO25" s="84"/>
      <c r="TNP25" s="84"/>
      <c r="TNQ25" s="84"/>
      <c r="TNR25" s="84"/>
      <c r="TNS25" s="84"/>
      <c r="TNT25" s="84"/>
      <c r="TNU25" s="84"/>
      <c r="TNV25" s="84"/>
      <c r="TNW25" s="84"/>
      <c r="TNX25" s="84"/>
      <c r="TNY25" s="84"/>
      <c r="TNZ25" s="84"/>
      <c r="TOA25" s="84"/>
      <c r="TOB25" s="84"/>
      <c r="TOC25" s="84"/>
      <c r="TOD25" s="84"/>
      <c r="TOE25" s="84"/>
      <c r="TOF25" s="84"/>
      <c r="TOG25" s="84"/>
      <c r="TOH25" s="84"/>
      <c r="TOI25" s="84"/>
      <c r="TOJ25" s="84"/>
      <c r="TOK25" s="84"/>
      <c r="TOL25" s="84"/>
      <c r="TOM25" s="84"/>
      <c r="TON25" s="84"/>
      <c r="TOO25" s="84"/>
      <c r="TOP25" s="84"/>
      <c r="TOQ25" s="84"/>
      <c r="TOR25" s="84"/>
      <c r="TOS25" s="84"/>
      <c r="TOT25" s="84"/>
      <c r="TOU25" s="84"/>
      <c r="TOV25" s="84"/>
      <c r="TOW25" s="84"/>
      <c r="TOX25" s="84"/>
      <c r="TOY25" s="84"/>
      <c r="TOZ25" s="84"/>
      <c r="TPA25" s="84"/>
      <c r="TPB25" s="84"/>
      <c r="TPC25" s="84"/>
      <c r="TPD25" s="84"/>
      <c r="TPE25" s="84"/>
      <c r="TPF25" s="84"/>
      <c r="TPG25" s="84"/>
      <c r="TPH25" s="84"/>
      <c r="TPI25" s="84"/>
      <c r="TPJ25" s="84"/>
      <c r="TPK25" s="84"/>
      <c r="TPL25" s="84"/>
      <c r="TPM25" s="84"/>
      <c r="TPN25" s="84"/>
      <c r="TPO25" s="84"/>
      <c r="TPP25" s="84"/>
      <c r="TPQ25" s="84"/>
      <c r="TPR25" s="84"/>
      <c r="TPS25" s="84"/>
      <c r="TPT25" s="84"/>
      <c r="TPU25" s="84"/>
      <c r="TPV25" s="84"/>
      <c r="TPW25" s="84"/>
      <c r="TPX25" s="84"/>
      <c r="TPY25" s="84"/>
      <c r="TPZ25" s="84"/>
      <c r="TQA25" s="84"/>
      <c r="TQB25" s="84"/>
      <c r="TQC25" s="84"/>
      <c r="TQD25" s="84"/>
      <c r="TQE25" s="84"/>
      <c r="TQF25" s="84"/>
      <c r="TQG25" s="84"/>
      <c r="TQH25" s="84"/>
      <c r="TQI25" s="84"/>
      <c r="TQJ25" s="84"/>
      <c r="TQK25" s="84"/>
      <c r="TQL25" s="84"/>
      <c r="TQM25" s="84"/>
      <c r="TQN25" s="84"/>
      <c r="TQO25" s="84"/>
      <c r="TQP25" s="84"/>
      <c r="TQQ25" s="84"/>
      <c r="TQR25" s="84"/>
      <c r="TQS25" s="84"/>
      <c r="TQT25" s="84"/>
      <c r="TQU25" s="84"/>
      <c r="TQV25" s="84"/>
      <c r="TQW25" s="84"/>
      <c r="TQX25" s="84"/>
      <c r="TQY25" s="84"/>
      <c r="TQZ25" s="84"/>
      <c r="TRA25" s="84"/>
      <c r="TRB25" s="84"/>
      <c r="TRC25" s="84"/>
      <c r="TRD25" s="84"/>
      <c r="TRE25" s="84"/>
      <c r="TRF25" s="84"/>
      <c r="TRG25" s="84"/>
      <c r="TRH25" s="84"/>
      <c r="TRI25" s="84"/>
      <c r="TRJ25" s="84"/>
      <c r="TRK25" s="84"/>
      <c r="TRL25" s="84"/>
      <c r="TRM25" s="84"/>
      <c r="TRN25" s="84"/>
      <c r="TRO25" s="84"/>
      <c r="TRP25" s="84"/>
      <c r="TRQ25" s="84"/>
      <c r="TRR25" s="84"/>
      <c r="TRS25" s="84"/>
      <c r="TRT25" s="84"/>
      <c r="TRU25" s="84"/>
      <c r="TRV25" s="84"/>
      <c r="TRW25" s="84"/>
      <c r="TRX25" s="84"/>
      <c r="TRY25" s="84"/>
      <c r="TRZ25" s="84"/>
      <c r="TSA25" s="84"/>
      <c r="TSB25" s="84"/>
      <c r="TSC25" s="84"/>
      <c r="TSD25" s="84"/>
      <c r="TSE25" s="84"/>
      <c r="TSF25" s="84"/>
      <c r="TSG25" s="84"/>
      <c r="TSH25" s="84"/>
      <c r="TSI25" s="84"/>
      <c r="TSJ25" s="84"/>
      <c r="TSK25" s="84"/>
      <c r="TSL25" s="84"/>
      <c r="TSM25" s="84"/>
      <c r="TSN25" s="84"/>
      <c r="TSO25" s="84"/>
      <c r="TSP25" s="84"/>
      <c r="TSQ25" s="84"/>
      <c r="TSR25" s="84"/>
      <c r="TSS25" s="84"/>
      <c r="TST25" s="84"/>
      <c r="TSU25" s="84"/>
      <c r="TSV25" s="84"/>
      <c r="TSW25" s="84"/>
      <c r="TSX25" s="84"/>
      <c r="TSY25" s="84"/>
      <c r="TSZ25" s="84"/>
      <c r="TTA25" s="84"/>
      <c r="TTB25" s="84"/>
      <c r="TTC25" s="84"/>
      <c r="TTD25" s="84"/>
      <c r="TTE25" s="84"/>
      <c r="TTF25" s="84"/>
      <c r="TTG25" s="84"/>
      <c r="TTH25" s="84"/>
      <c r="TTI25" s="84"/>
      <c r="TTJ25" s="84"/>
      <c r="TTK25" s="84"/>
      <c r="TTL25" s="84"/>
      <c r="TTM25" s="84"/>
      <c r="TTN25" s="84"/>
      <c r="TTO25" s="84"/>
      <c r="TTP25" s="84"/>
      <c r="TTQ25" s="84"/>
      <c r="TTR25" s="84"/>
      <c r="TTS25" s="84"/>
      <c r="TTT25" s="84"/>
      <c r="TTU25" s="84"/>
      <c r="TTV25" s="84"/>
      <c r="TTW25" s="84"/>
      <c r="TTX25" s="84"/>
      <c r="TTY25" s="84"/>
      <c r="TTZ25" s="84"/>
      <c r="TUA25" s="84"/>
      <c r="TUB25" s="84"/>
      <c r="TUC25" s="84"/>
      <c r="TUD25" s="84"/>
      <c r="TUE25" s="84"/>
      <c r="TUF25" s="84"/>
      <c r="TUG25" s="84"/>
      <c r="TUH25" s="84"/>
      <c r="TUI25" s="84"/>
      <c r="TUJ25" s="84"/>
      <c r="TUK25" s="84"/>
      <c r="TUL25" s="84"/>
      <c r="TUM25" s="84"/>
      <c r="TUN25" s="84"/>
      <c r="TUO25" s="84"/>
      <c r="TUP25" s="84"/>
      <c r="TUQ25" s="84"/>
      <c r="TUR25" s="84"/>
      <c r="TUS25" s="84"/>
      <c r="TUT25" s="84"/>
      <c r="TUU25" s="84"/>
      <c r="TUV25" s="84"/>
      <c r="TUW25" s="84"/>
      <c r="TUX25" s="84"/>
      <c r="TUY25" s="84"/>
      <c r="TUZ25" s="84"/>
      <c r="TVA25" s="84"/>
      <c r="TVB25" s="84"/>
      <c r="TVC25" s="84"/>
      <c r="TVD25" s="84"/>
      <c r="TVE25" s="84"/>
      <c r="TVF25" s="84"/>
      <c r="TVG25" s="84"/>
      <c r="TVH25" s="84"/>
      <c r="TVI25" s="84"/>
      <c r="TVJ25" s="84"/>
      <c r="TVK25" s="84"/>
      <c r="TVL25" s="84"/>
      <c r="TVM25" s="84"/>
      <c r="TVN25" s="84"/>
      <c r="TVO25" s="84"/>
      <c r="TVP25" s="84"/>
      <c r="TVQ25" s="84"/>
      <c r="TVR25" s="84"/>
      <c r="TVS25" s="84"/>
      <c r="TVT25" s="84"/>
      <c r="TVU25" s="84"/>
      <c r="TVV25" s="84"/>
      <c r="TVW25" s="84"/>
      <c r="TVX25" s="84"/>
      <c r="TVY25" s="84"/>
      <c r="TVZ25" s="84"/>
      <c r="TWA25" s="84"/>
      <c r="TWB25" s="84"/>
      <c r="TWC25" s="84"/>
      <c r="TWD25" s="84"/>
      <c r="TWE25" s="84"/>
      <c r="TWF25" s="84"/>
      <c r="TWG25" s="84"/>
      <c r="TWH25" s="84"/>
      <c r="TWI25" s="84"/>
      <c r="TWJ25" s="84"/>
      <c r="TWK25" s="84"/>
      <c r="TWL25" s="84"/>
      <c r="TWM25" s="84"/>
      <c r="TWN25" s="84"/>
      <c r="TWO25" s="84"/>
      <c r="TWP25" s="84"/>
      <c r="TWQ25" s="84"/>
      <c r="TWR25" s="84"/>
      <c r="TWS25" s="84"/>
      <c r="TWT25" s="84"/>
      <c r="TWU25" s="84"/>
      <c r="TWV25" s="84"/>
      <c r="TWW25" s="84"/>
      <c r="TWX25" s="84"/>
      <c r="TWY25" s="84"/>
      <c r="TWZ25" s="84"/>
      <c r="TXA25" s="84"/>
      <c r="TXB25" s="84"/>
      <c r="TXC25" s="84"/>
      <c r="TXD25" s="84"/>
      <c r="TXE25" s="84"/>
      <c r="TXF25" s="84"/>
      <c r="TXG25" s="84"/>
      <c r="TXH25" s="84"/>
      <c r="TXI25" s="84"/>
      <c r="TXJ25" s="84"/>
      <c r="TXK25" s="84"/>
      <c r="TXL25" s="84"/>
      <c r="TXM25" s="84"/>
      <c r="TXN25" s="84"/>
      <c r="TXO25" s="84"/>
      <c r="TXP25" s="84"/>
      <c r="TXQ25" s="84"/>
      <c r="TXR25" s="84"/>
      <c r="TXS25" s="84"/>
      <c r="TXT25" s="84"/>
      <c r="TXU25" s="84"/>
      <c r="TXV25" s="84"/>
      <c r="TXW25" s="84"/>
      <c r="TXX25" s="84"/>
      <c r="TXY25" s="84"/>
      <c r="TXZ25" s="84"/>
      <c r="TYA25" s="84"/>
      <c r="TYB25" s="84"/>
      <c r="TYC25" s="84"/>
      <c r="TYD25" s="84"/>
      <c r="TYE25" s="84"/>
      <c r="TYF25" s="84"/>
      <c r="TYG25" s="84"/>
      <c r="TYH25" s="84"/>
      <c r="TYI25" s="84"/>
      <c r="TYJ25" s="84"/>
      <c r="TYK25" s="84"/>
      <c r="TYL25" s="84"/>
      <c r="TYM25" s="84"/>
      <c r="TYN25" s="84"/>
      <c r="TYO25" s="84"/>
      <c r="TYP25" s="84"/>
      <c r="TYQ25" s="84"/>
      <c r="TYR25" s="84"/>
      <c r="TYS25" s="84"/>
      <c r="TYT25" s="84"/>
      <c r="TYU25" s="84"/>
      <c r="TYV25" s="84"/>
      <c r="TYW25" s="84"/>
      <c r="TYX25" s="84"/>
      <c r="TYY25" s="84"/>
      <c r="TYZ25" s="84"/>
      <c r="TZA25" s="84"/>
      <c r="TZB25" s="84"/>
      <c r="TZC25" s="84"/>
      <c r="TZD25" s="84"/>
      <c r="TZE25" s="84"/>
      <c r="TZF25" s="84"/>
      <c r="TZG25" s="84"/>
      <c r="TZH25" s="84"/>
      <c r="TZI25" s="84"/>
      <c r="TZJ25" s="84"/>
      <c r="TZK25" s="84"/>
      <c r="TZL25" s="84"/>
      <c r="TZM25" s="84"/>
      <c r="TZN25" s="84"/>
      <c r="TZO25" s="84"/>
      <c r="TZP25" s="84"/>
      <c r="TZQ25" s="84"/>
      <c r="TZR25" s="84"/>
      <c r="TZS25" s="84"/>
      <c r="TZT25" s="84"/>
      <c r="TZU25" s="84"/>
      <c r="TZV25" s="84"/>
      <c r="TZW25" s="84"/>
      <c r="TZX25" s="84"/>
      <c r="TZY25" s="84"/>
      <c r="TZZ25" s="84"/>
      <c r="UAA25" s="84"/>
      <c r="UAB25" s="84"/>
      <c r="UAC25" s="84"/>
      <c r="UAD25" s="84"/>
      <c r="UAE25" s="84"/>
      <c r="UAF25" s="84"/>
      <c r="UAG25" s="84"/>
      <c r="UAH25" s="84"/>
      <c r="UAI25" s="84"/>
      <c r="UAJ25" s="84"/>
      <c r="UAK25" s="84"/>
      <c r="UAL25" s="84"/>
      <c r="UAM25" s="84"/>
      <c r="UAN25" s="84"/>
      <c r="UAO25" s="84"/>
      <c r="UAP25" s="84"/>
      <c r="UAQ25" s="84"/>
      <c r="UAR25" s="84"/>
      <c r="UAS25" s="84"/>
      <c r="UAT25" s="84"/>
      <c r="UAU25" s="84"/>
      <c r="UAV25" s="84"/>
      <c r="UAW25" s="84"/>
      <c r="UAX25" s="84"/>
      <c r="UAY25" s="84"/>
      <c r="UAZ25" s="84"/>
      <c r="UBA25" s="84"/>
      <c r="UBB25" s="84"/>
      <c r="UBC25" s="84"/>
      <c r="UBD25" s="84"/>
      <c r="UBE25" s="84"/>
      <c r="UBF25" s="84"/>
      <c r="UBG25" s="84"/>
      <c r="UBH25" s="84"/>
      <c r="UBI25" s="84"/>
      <c r="UBJ25" s="84"/>
      <c r="UBK25" s="84"/>
      <c r="UBL25" s="84"/>
      <c r="UBM25" s="84"/>
      <c r="UBN25" s="84"/>
      <c r="UBO25" s="84"/>
      <c r="UBP25" s="84"/>
      <c r="UBQ25" s="84"/>
      <c r="UBR25" s="84"/>
      <c r="UBS25" s="84"/>
      <c r="UBT25" s="84"/>
      <c r="UBU25" s="84"/>
      <c r="UBV25" s="84"/>
      <c r="UBW25" s="84"/>
      <c r="UBX25" s="84"/>
      <c r="UBY25" s="84"/>
      <c r="UBZ25" s="84"/>
      <c r="UCA25" s="84"/>
      <c r="UCB25" s="84"/>
      <c r="UCC25" s="84"/>
      <c r="UCD25" s="84"/>
      <c r="UCE25" s="84"/>
      <c r="UCF25" s="84"/>
      <c r="UCG25" s="84"/>
      <c r="UCH25" s="84"/>
      <c r="UCI25" s="84"/>
      <c r="UCJ25" s="84"/>
      <c r="UCK25" s="84"/>
      <c r="UCL25" s="84"/>
      <c r="UCM25" s="84"/>
      <c r="UCN25" s="84"/>
      <c r="UCO25" s="84"/>
      <c r="UCP25" s="84"/>
      <c r="UCQ25" s="84"/>
      <c r="UCR25" s="84"/>
      <c r="UCS25" s="84"/>
      <c r="UCT25" s="84"/>
      <c r="UCU25" s="84"/>
      <c r="UCV25" s="84"/>
      <c r="UCW25" s="84"/>
      <c r="UCX25" s="84"/>
      <c r="UCY25" s="84"/>
      <c r="UCZ25" s="84"/>
      <c r="UDA25" s="84"/>
      <c r="UDB25" s="84"/>
      <c r="UDC25" s="84"/>
      <c r="UDD25" s="84"/>
      <c r="UDE25" s="84"/>
      <c r="UDF25" s="84"/>
      <c r="UDG25" s="84"/>
      <c r="UDH25" s="84"/>
      <c r="UDI25" s="84"/>
      <c r="UDJ25" s="84"/>
      <c r="UDK25" s="84"/>
      <c r="UDL25" s="84"/>
      <c r="UDM25" s="84"/>
      <c r="UDN25" s="84"/>
      <c r="UDO25" s="84"/>
      <c r="UDP25" s="84"/>
      <c r="UDQ25" s="84"/>
      <c r="UDR25" s="84"/>
      <c r="UDS25" s="84"/>
      <c r="UDT25" s="84"/>
      <c r="UDU25" s="84"/>
      <c r="UDV25" s="84"/>
      <c r="UDW25" s="84"/>
      <c r="UDX25" s="84"/>
      <c r="UDY25" s="84"/>
      <c r="UDZ25" s="84"/>
      <c r="UEA25" s="84"/>
      <c r="UEB25" s="84"/>
      <c r="UEC25" s="84"/>
      <c r="UED25" s="84"/>
      <c r="UEE25" s="84"/>
      <c r="UEF25" s="84"/>
      <c r="UEG25" s="84"/>
      <c r="UEH25" s="84"/>
      <c r="UEI25" s="84"/>
      <c r="UEJ25" s="84"/>
      <c r="UEK25" s="84"/>
      <c r="UEL25" s="84"/>
      <c r="UEM25" s="84"/>
      <c r="UEN25" s="84"/>
      <c r="UEO25" s="84"/>
      <c r="UEP25" s="84"/>
      <c r="UEQ25" s="84"/>
      <c r="UER25" s="84"/>
      <c r="UES25" s="84"/>
      <c r="UET25" s="84"/>
      <c r="UEU25" s="84"/>
      <c r="UEV25" s="84"/>
      <c r="UEW25" s="84"/>
      <c r="UEX25" s="84"/>
      <c r="UEY25" s="84"/>
      <c r="UEZ25" s="84"/>
      <c r="UFA25" s="84"/>
      <c r="UFB25" s="84"/>
      <c r="UFC25" s="84"/>
      <c r="UFD25" s="84"/>
      <c r="UFE25" s="84"/>
      <c r="UFF25" s="84"/>
      <c r="UFG25" s="84"/>
      <c r="UFH25" s="84"/>
      <c r="UFI25" s="84"/>
      <c r="UFJ25" s="84"/>
      <c r="UFK25" s="84"/>
      <c r="UFL25" s="84"/>
      <c r="UFM25" s="84"/>
      <c r="UFN25" s="84"/>
      <c r="UFO25" s="84"/>
      <c r="UFP25" s="84"/>
      <c r="UFQ25" s="84"/>
      <c r="UFR25" s="84"/>
      <c r="UFS25" s="84"/>
      <c r="UFT25" s="84"/>
      <c r="UFU25" s="84"/>
      <c r="UFV25" s="84"/>
      <c r="UFW25" s="84"/>
      <c r="UFX25" s="84"/>
      <c r="UFY25" s="84"/>
      <c r="UFZ25" s="84"/>
      <c r="UGA25" s="84"/>
      <c r="UGB25" s="84"/>
      <c r="UGC25" s="84"/>
      <c r="UGD25" s="84"/>
      <c r="UGE25" s="84"/>
      <c r="UGF25" s="84"/>
      <c r="UGG25" s="84"/>
      <c r="UGH25" s="84"/>
      <c r="UGI25" s="84"/>
      <c r="UGJ25" s="84"/>
      <c r="UGK25" s="84"/>
      <c r="UGL25" s="84"/>
      <c r="UGM25" s="84"/>
      <c r="UGN25" s="84"/>
      <c r="UGO25" s="84"/>
      <c r="UGP25" s="84"/>
      <c r="UGQ25" s="84"/>
      <c r="UGR25" s="84"/>
      <c r="UGS25" s="84"/>
      <c r="UGT25" s="84"/>
      <c r="UGU25" s="84"/>
      <c r="UGV25" s="84"/>
      <c r="UGW25" s="84"/>
      <c r="UGX25" s="84"/>
      <c r="UGY25" s="84"/>
      <c r="UGZ25" s="84"/>
      <c r="UHA25" s="84"/>
      <c r="UHB25" s="84"/>
      <c r="UHC25" s="84"/>
      <c r="UHD25" s="84"/>
      <c r="UHE25" s="84"/>
      <c r="UHF25" s="84"/>
      <c r="UHG25" s="84"/>
      <c r="UHH25" s="84"/>
      <c r="UHI25" s="84"/>
      <c r="UHJ25" s="84"/>
      <c r="UHK25" s="84"/>
      <c r="UHL25" s="84"/>
      <c r="UHM25" s="84"/>
      <c r="UHN25" s="84"/>
      <c r="UHO25" s="84"/>
      <c r="UHP25" s="84"/>
      <c r="UHQ25" s="84"/>
      <c r="UHR25" s="84"/>
      <c r="UHS25" s="84"/>
      <c r="UHT25" s="84"/>
      <c r="UHU25" s="84"/>
      <c r="UHV25" s="84"/>
      <c r="UHW25" s="84"/>
      <c r="UHX25" s="84"/>
      <c r="UHY25" s="84"/>
      <c r="UHZ25" s="84"/>
      <c r="UIA25" s="84"/>
      <c r="UIB25" s="84"/>
      <c r="UIC25" s="84"/>
      <c r="UID25" s="84"/>
      <c r="UIE25" s="84"/>
      <c r="UIF25" s="84"/>
      <c r="UIG25" s="84"/>
      <c r="UIH25" s="84"/>
      <c r="UII25" s="84"/>
      <c r="UIJ25" s="84"/>
      <c r="UIK25" s="84"/>
      <c r="UIL25" s="84"/>
      <c r="UIM25" s="84"/>
      <c r="UIN25" s="84"/>
      <c r="UIO25" s="84"/>
      <c r="UIP25" s="84"/>
      <c r="UIQ25" s="84"/>
      <c r="UIR25" s="84"/>
      <c r="UIS25" s="84"/>
      <c r="UIT25" s="84"/>
      <c r="UIU25" s="84"/>
      <c r="UIV25" s="84"/>
      <c r="UIW25" s="84"/>
      <c r="UIX25" s="84"/>
      <c r="UIY25" s="84"/>
      <c r="UIZ25" s="84"/>
      <c r="UJA25" s="84"/>
      <c r="UJB25" s="84"/>
      <c r="UJC25" s="84"/>
      <c r="UJD25" s="84"/>
      <c r="UJE25" s="84"/>
      <c r="UJF25" s="84"/>
      <c r="UJG25" s="84"/>
      <c r="UJH25" s="84"/>
      <c r="UJI25" s="84"/>
      <c r="UJJ25" s="84"/>
      <c r="UJK25" s="84"/>
      <c r="UJL25" s="84"/>
      <c r="UJM25" s="84"/>
      <c r="UJN25" s="84"/>
      <c r="UJO25" s="84"/>
      <c r="UJP25" s="84"/>
      <c r="UJQ25" s="84"/>
      <c r="UJR25" s="84"/>
      <c r="UJS25" s="84"/>
      <c r="UJT25" s="84"/>
      <c r="UJU25" s="84"/>
      <c r="UJV25" s="84"/>
      <c r="UJW25" s="84"/>
      <c r="UJX25" s="84"/>
      <c r="UJY25" s="84"/>
      <c r="UJZ25" s="84"/>
      <c r="UKA25" s="84"/>
      <c r="UKB25" s="84"/>
      <c r="UKC25" s="84"/>
      <c r="UKD25" s="84"/>
      <c r="UKE25" s="84"/>
      <c r="UKF25" s="84"/>
      <c r="UKG25" s="84"/>
      <c r="UKH25" s="84"/>
      <c r="UKI25" s="84"/>
      <c r="UKJ25" s="84"/>
      <c r="UKK25" s="84"/>
      <c r="UKL25" s="84"/>
      <c r="UKM25" s="84"/>
      <c r="UKN25" s="84"/>
      <c r="UKO25" s="84"/>
      <c r="UKP25" s="84"/>
      <c r="UKQ25" s="84"/>
      <c r="UKR25" s="84"/>
      <c r="UKS25" s="84"/>
      <c r="UKT25" s="84"/>
      <c r="UKU25" s="84"/>
      <c r="UKV25" s="84"/>
      <c r="UKW25" s="84"/>
      <c r="UKX25" s="84"/>
      <c r="UKY25" s="84"/>
      <c r="UKZ25" s="84"/>
      <c r="ULA25" s="84"/>
      <c r="ULB25" s="84"/>
      <c r="ULC25" s="84"/>
      <c r="ULD25" s="84"/>
      <c r="ULE25" s="84"/>
      <c r="ULF25" s="84"/>
      <c r="ULG25" s="84"/>
      <c r="ULH25" s="84"/>
      <c r="ULI25" s="84"/>
      <c r="ULJ25" s="84"/>
      <c r="ULK25" s="84"/>
      <c r="ULL25" s="84"/>
      <c r="ULM25" s="84"/>
      <c r="ULN25" s="84"/>
      <c r="ULO25" s="84"/>
      <c r="ULP25" s="84"/>
      <c r="ULQ25" s="84"/>
      <c r="ULR25" s="84"/>
      <c r="ULS25" s="84"/>
      <c r="ULT25" s="84"/>
      <c r="ULU25" s="84"/>
      <c r="ULV25" s="84"/>
      <c r="ULW25" s="84"/>
      <c r="ULX25" s="84"/>
      <c r="ULY25" s="84"/>
      <c r="ULZ25" s="84"/>
      <c r="UMA25" s="84"/>
      <c r="UMB25" s="84"/>
      <c r="UMC25" s="84"/>
      <c r="UMD25" s="84"/>
      <c r="UME25" s="84"/>
      <c r="UMF25" s="84"/>
      <c r="UMG25" s="84"/>
      <c r="UMH25" s="84"/>
      <c r="UMI25" s="84"/>
      <c r="UMJ25" s="84"/>
      <c r="UMK25" s="84"/>
      <c r="UML25" s="84"/>
      <c r="UMM25" s="84"/>
      <c r="UMN25" s="84"/>
      <c r="UMO25" s="84"/>
      <c r="UMP25" s="84"/>
      <c r="UMQ25" s="84"/>
      <c r="UMR25" s="84"/>
      <c r="UMS25" s="84"/>
      <c r="UMT25" s="84"/>
      <c r="UMU25" s="84"/>
      <c r="UMV25" s="84"/>
      <c r="UMW25" s="84"/>
      <c r="UMX25" s="84"/>
      <c r="UMY25" s="84"/>
      <c r="UMZ25" s="84"/>
      <c r="UNA25" s="84"/>
      <c r="UNB25" s="84"/>
      <c r="UNC25" s="84"/>
      <c r="UND25" s="84"/>
      <c r="UNE25" s="84"/>
      <c r="UNF25" s="84"/>
      <c r="UNG25" s="84"/>
      <c r="UNH25" s="84"/>
      <c r="UNI25" s="84"/>
      <c r="UNJ25" s="84"/>
      <c r="UNK25" s="84"/>
      <c r="UNL25" s="84"/>
      <c r="UNM25" s="84"/>
      <c r="UNN25" s="84"/>
      <c r="UNO25" s="84"/>
      <c r="UNP25" s="84"/>
      <c r="UNQ25" s="84"/>
      <c r="UNR25" s="84"/>
      <c r="UNS25" s="84"/>
      <c r="UNT25" s="84"/>
      <c r="UNU25" s="84"/>
      <c r="UNV25" s="84"/>
      <c r="UNW25" s="84"/>
      <c r="UNX25" s="84"/>
      <c r="UNY25" s="84"/>
      <c r="UNZ25" s="84"/>
      <c r="UOA25" s="84"/>
      <c r="UOB25" s="84"/>
      <c r="UOC25" s="84"/>
      <c r="UOD25" s="84"/>
      <c r="UOE25" s="84"/>
      <c r="UOF25" s="84"/>
      <c r="UOG25" s="84"/>
      <c r="UOH25" s="84"/>
      <c r="UOI25" s="84"/>
      <c r="UOJ25" s="84"/>
      <c r="UOK25" s="84"/>
      <c r="UOL25" s="84"/>
      <c r="UOM25" s="84"/>
      <c r="UON25" s="84"/>
      <c r="UOO25" s="84"/>
      <c r="UOP25" s="84"/>
      <c r="UOQ25" s="84"/>
      <c r="UOR25" s="84"/>
      <c r="UOS25" s="84"/>
      <c r="UOT25" s="84"/>
      <c r="UOU25" s="84"/>
      <c r="UOV25" s="84"/>
      <c r="UOW25" s="84"/>
      <c r="UOX25" s="84"/>
      <c r="UOY25" s="84"/>
      <c r="UOZ25" s="84"/>
      <c r="UPA25" s="84"/>
      <c r="UPB25" s="84"/>
      <c r="UPC25" s="84"/>
      <c r="UPD25" s="84"/>
      <c r="UPE25" s="84"/>
      <c r="UPF25" s="84"/>
      <c r="UPG25" s="84"/>
      <c r="UPH25" s="84"/>
      <c r="UPI25" s="84"/>
      <c r="UPJ25" s="84"/>
      <c r="UPK25" s="84"/>
      <c r="UPL25" s="84"/>
      <c r="UPM25" s="84"/>
      <c r="UPN25" s="84"/>
      <c r="UPO25" s="84"/>
      <c r="UPP25" s="84"/>
      <c r="UPQ25" s="84"/>
      <c r="UPR25" s="84"/>
      <c r="UPS25" s="84"/>
      <c r="UPT25" s="84"/>
      <c r="UPU25" s="84"/>
      <c r="UPV25" s="84"/>
      <c r="UPW25" s="84"/>
      <c r="UPX25" s="84"/>
      <c r="UPY25" s="84"/>
      <c r="UPZ25" s="84"/>
      <c r="UQA25" s="84"/>
      <c r="UQB25" s="84"/>
      <c r="UQC25" s="84"/>
      <c r="UQD25" s="84"/>
      <c r="UQE25" s="84"/>
      <c r="UQF25" s="84"/>
      <c r="UQG25" s="84"/>
      <c r="UQH25" s="84"/>
      <c r="UQI25" s="84"/>
      <c r="UQJ25" s="84"/>
      <c r="UQK25" s="84"/>
      <c r="UQL25" s="84"/>
      <c r="UQM25" s="84"/>
      <c r="UQN25" s="84"/>
      <c r="UQO25" s="84"/>
      <c r="UQP25" s="84"/>
      <c r="UQQ25" s="84"/>
      <c r="UQR25" s="84"/>
      <c r="UQS25" s="84"/>
      <c r="UQT25" s="84"/>
      <c r="UQU25" s="84"/>
      <c r="UQV25" s="84"/>
      <c r="UQW25" s="84"/>
      <c r="UQX25" s="84"/>
      <c r="UQY25" s="84"/>
      <c r="UQZ25" s="84"/>
      <c r="URA25" s="84"/>
      <c r="URB25" s="84"/>
      <c r="URC25" s="84"/>
      <c r="URD25" s="84"/>
      <c r="URE25" s="84"/>
      <c r="URF25" s="84"/>
      <c r="URG25" s="84"/>
      <c r="URH25" s="84"/>
      <c r="URI25" s="84"/>
      <c r="URJ25" s="84"/>
      <c r="URK25" s="84"/>
      <c r="URL25" s="84"/>
      <c r="URM25" s="84"/>
      <c r="URN25" s="84"/>
      <c r="URO25" s="84"/>
      <c r="URP25" s="84"/>
      <c r="URQ25" s="84"/>
      <c r="URR25" s="84"/>
      <c r="URS25" s="84"/>
      <c r="URT25" s="84"/>
      <c r="URU25" s="84"/>
      <c r="URV25" s="84"/>
      <c r="URW25" s="84"/>
      <c r="URX25" s="84"/>
      <c r="URY25" s="84"/>
      <c r="URZ25" s="84"/>
      <c r="USA25" s="84"/>
      <c r="USB25" s="84"/>
      <c r="USC25" s="84"/>
      <c r="USD25" s="84"/>
      <c r="USE25" s="84"/>
      <c r="USF25" s="84"/>
      <c r="USG25" s="84"/>
      <c r="USH25" s="84"/>
      <c r="USI25" s="84"/>
      <c r="USJ25" s="84"/>
      <c r="USK25" s="84"/>
      <c r="USL25" s="84"/>
      <c r="USM25" s="84"/>
      <c r="USN25" s="84"/>
      <c r="USO25" s="84"/>
      <c r="USP25" s="84"/>
      <c r="USQ25" s="84"/>
      <c r="USR25" s="84"/>
      <c r="USS25" s="84"/>
      <c r="UST25" s="84"/>
      <c r="USU25" s="84"/>
      <c r="USV25" s="84"/>
      <c r="USW25" s="84"/>
      <c r="USX25" s="84"/>
      <c r="USY25" s="84"/>
      <c r="USZ25" s="84"/>
      <c r="UTA25" s="84"/>
      <c r="UTB25" s="84"/>
      <c r="UTC25" s="84"/>
      <c r="UTD25" s="84"/>
      <c r="UTE25" s="84"/>
      <c r="UTF25" s="84"/>
      <c r="UTG25" s="84"/>
      <c r="UTH25" s="84"/>
      <c r="UTI25" s="84"/>
      <c r="UTJ25" s="84"/>
      <c r="UTK25" s="84"/>
      <c r="UTL25" s="84"/>
      <c r="UTM25" s="84"/>
      <c r="UTN25" s="84"/>
      <c r="UTO25" s="84"/>
      <c r="UTP25" s="84"/>
      <c r="UTQ25" s="84"/>
      <c r="UTR25" s="84"/>
      <c r="UTS25" s="84"/>
      <c r="UTT25" s="84"/>
      <c r="UTU25" s="84"/>
      <c r="UTV25" s="84"/>
      <c r="UTW25" s="84"/>
      <c r="UTX25" s="84"/>
      <c r="UTY25" s="84"/>
      <c r="UTZ25" s="84"/>
      <c r="UUA25" s="84"/>
      <c r="UUB25" s="84"/>
      <c r="UUC25" s="84"/>
      <c r="UUD25" s="84"/>
      <c r="UUE25" s="84"/>
      <c r="UUF25" s="84"/>
      <c r="UUG25" s="84"/>
      <c r="UUH25" s="84"/>
      <c r="UUI25" s="84"/>
      <c r="UUJ25" s="84"/>
      <c r="UUK25" s="84"/>
      <c r="UUL25" s="84"/>
      <c r="UUM25" s="84"/>
      <c r="UUN25" s="84"/>
      <c r="UUO25" s="84"/>
      <c r="UUP25" s="84"/>
      <c r="UUQ25" s="84"/>
      <c r="UUR25" s="84"/>
      <c r="UUS25" s="84"/>
      <c r="UUT25" s="84"/>
      <c r="UUU25" s="84"/>
      <c r="UUV25" s="84"/>
      <c r="UUW25" s="84"/>
      <c r="UUX25" s="84"/>
      <c r="UUY25" s="84"/>
      <c r="UUZ25" s="84"/>
      <c r="UVA25" s="84"/>
      <c r="UVB25" s="84"/>
      <c r="UVC25" s="84"/>
      <c r="UVD25" s="84"/>
      <c r="UVE25" s="84"/>
      <c r="UVF25" s="84"/>
      <c r="UVG25" s="84"/>
      <c r="UVH25" s="84"/>
      <c r="UVI25" s="84"/>
      <c r="UVJ25" s="84"/>
      <c r="UVK25" s="84"/>
      <c r="UVL25" s="84"/>
      <c r="UVM25" s="84"/>
      <c r="UVN25" s="84"/>
      <c r="UVO25" s="84"/>
      <c r="UVP25" s="84"/>
      <c r="UVQ25" s="84"/>
      <c r="UVR25" s="84"/>
      <c r="UVS25" s="84"/>
      <c r="UVT25" s="84"/>
      <c r="UVU25" s="84"/>
      <c r="UVV25" s="84"/>
      <c r="UVW25" s="84"/>
      <c r="UVX25" s="84"/>
      <c r="UVY25" s="84"/>
      <c r="UVZ25" s="84"/>
      <c r="UWA25" s="84"/>
      <c r="UWB25" s="84"/>
      <c r="UWC25" s="84"/>
      <c r="UWD25" s="84"/>
      <c r="UWE25" s="84"/>
      <c r="UWF25" s="84"/>
      <c r="UWG25" s="84"/>
      <c r="UWH25" s="84"/>
      <c r="UWI25" s="84"/>
      <c r="UWJ25" s="84"/>
      <c r="UWK25" s="84"/>
      <c r="UWL25" s="84"/>
      <c r="UWM25" s="84"/>
      <c r="UWN25" s="84"/>
      <c r="UWO25" s="84"/>
      <c r="UWP25" s="84"/>
      <c r="UWQ25" s="84"/>
      <c r="UWR25" s="84"/>
      <c r="UWS25" s="84"/>
      <c r="UWT25" s="84"/>
      <c r="UWU25" s="84"/>
      <c r="UWV25" s="84"/>
      <c r="UWW25" s="84"/>
      <c r="UWX25" s="84"/>
      <c r="UWY25" s="84"/>
      <c r="UWZ25" s="84"/>
      <c r="UXA25" s="84"/>
      <c r="UXB25" s="84"/>
      <c r="UXC25" s="84"/>
      <c r="UXD25" s="84"/>
      <c r="UXE25" s="84"/>
      <c r="UXF25" s="84"/>
      <c r="UXG25" s="84"/>
      <c r="UXH25" s="84"/>
      <c r="UXI25" s="84"/>
      <c r="UXJ25" s="84"/>
      <c r="UXK25" s="84"/>
      <c r="UXL25" s="84"/>
      <c r="UXM25" s="84"/>
      <c r="UXN25" s="84"/>
      <c r="UXO25" s="84"/>
      <c r="UXP25" s="84"/>
      <c r="UXQ25" s="84"/>
      <c r="UXR25" s="84"/>
      <c r="UXS25" s="84"/>
      <c r="UXT25" s="84"/>
      <c r="UXU25" s="84"/>
      <c r="UXV25" s="84"/>
      <c r="UXW25" s="84"/>
      <c r="UXX25" s="84"/>
      <c r="UXY25" s="84"/>
      <c r="UXZ25" s="84"/>
      <c r="UYA25" s="84"/>
      <c r="UYB25" s="84"/>
      <c r="UYC25" s="84"/>
      <c r="UYD25" s="84"/>
      <c r="UYE25" s="84"/>
      <c r="UYF25" s="84"/>
      <c r="UYG25" s="84"/>
      <c r="UYH25" s="84"/>
      <c r="UYI25" s="84"/>
      <c r="UYJ25" s="84"/>
      <c r="UYK25" s="84"/>
      <c r="UYL25" s="84"/>
      <c r="UYM25" s="84"/>
      <c r="UYN25" s="84"/>
      <c r="UYO25" s="84"/>
      <c r="UYP25" s="84"/>
      <c r="UYQ25" s="84"/>
      <c r="UYR25" s="84"/>
      <c r="UYS25" s="84"/>
      <c r="UYT25" s="84"/>
      <c r="UYU25" s="84"/>
      <c r="UYV25" s="84"/>
      <c r="UYW25" s="84"/>
      <c r="UYX25" s="84"/>
      <c r="UYY25" s="84"/>
      <c r="UYZ25" s="84"/>
      <c r="UZA25" s="84"/>
      <c r="UZB25" s="84"/>
      <c r="UZC25" s="84"/>
      <c r="UZD25" s="84"/>
      <c r="UZE25" s="84"/>
      <c r="UZF25" s="84"/>
      <c r="UZG25" s="84"/>
      <c r="UZH25" s="84"/>
      <c r="UZI25" s="84"/>
      <c r="UZJ25" s="84"/>
      <c r="UZK25" s="84"/>
      <c r="UZL25" s="84"/>
      <c r="UZM25" s="84"/>
      <c r="UZN25" s="84"/>
      <c r="UZO25" s="84"/>
      <c r="UZP25" s="84"/>
      <c r="UZQ25" s="84"/>
      <c r="UZR25" s="84"/>
      <c r="UZS25" s="84"/>
      <c r="UZT25" s="84"/>
      <c r="UZU25" s="84"/>
      <c r="UZV25" s="84"/>
      <c r="UZW25" s="84"/>
      <c r="UZX25" s="84"/>
      <c r="UZY25" s="84"/>
      <c r="UZZ25" s="84"/>
      <c r="VAA25" s="84"/>
      <c r="VAB25" s="84"/>
      <c r="VAC25" s="84"/>
      <c r="VAD25" s="84"/>
      <c r="VAE25" s="84"/>
      <c r="VAF25" s="84"/>
      <c r="VAG25" s="84"/>
      <c r="VAH25" s="84"/>
      <c r="VAI25" s="84"/>
      <c r="VAJ25" s="84"/>
      <c r="VAK25" s="84"/>
      <c r="VAL25" s="84"/>
      <c r="VAM25" s="84"/>
      <c r="VAN25" s="84"/>
      <c r="VAO25" s="84"/>
      <c r="VAP25" s="84"/>
      <c r="VAQ25" s="84"/>
      <c r="VAR25" s="84"/>
      <c r="VAS25" s="84"/>
      <c r="VAT25" s="84"/>
      <c r="VAU25" s="84"/>
      <c r="VAV25" s="84"/>
      <c r="VAW25" s="84"/>
      <c r="VAX25" s="84"/>
      <c r="VAY25" s="84"/>
      <c r="VAZ25" s="84"/>
      <c r="VBA25" s="84"/>
      <c r="VBB25" s="84"/>
      <c r="VBC25" s="84"/>
      <c r="VBD25" s="84"/>
      <c r="VBE25" s="84"/>
      <c r="VBF25" s="84"/>
      <c r="VBG25" s="84"/>
      <c r="VBH25" s="84"/>
      <c r="VBI25" s="84"/>
      <c r="VBJ25" s="84"/>
      <c r="VBK25" s="84"/>
      <c r="VBL25" s="84"/>
      <c r="VBM25" s="84"/>
      <c r="VBN25" s="84"/>
      <c r="VBO25" s="84"/>
      <c r="VBP25" s="84"/>
      <c r="VBQ25" s="84"/>
      <c r="VBR25" s="84"/>
      <c r="VBS25" s="84"/>
      <c r="VBT25" s="84"/>
      <c r="VBU25" s="84"/>
      <c r="VBV25" s="84"/>
      <c r="VBW25" s="84"/>
      <c r="VBX25" s="84"/>
      <c r="VBY25" s="84"/>
      <c r="VBZ25" s="84"/>
      <c r="VCA25" s="84"/>
      <c r="VCB25" s="84"/>
      <c r="VCC25" s="84"/>
      <c r="VCD25" s="84"/>
      <c r="VCE25" s="84"/>
      <c r="VCF25" s="84"/>
      <c r="VCG25" s="84"/>
      <c r="VCH25" s="84"/>
      <c r="VCI25" s="84"/>
      <c r="VCJ25" s="84"/>
      <c r="VCK25" s="84"/>
      <c r="VCL25" s="84"/>
      <c r="VCM25" s="84"/>
      <c r="VCN25" s="84"/>
      <c r="VCO25" s="84"/>
      <c r="VCP25" s="84"/>
      <c r="VCQ25" s="84"/>
      <c r="VCR25" s="84"/>
      <c r="VCS25" s="84"/>
      <c r="VCT25" s="84"/>
      <c r="VCU25" s="84"/>
      <c r="VCV25" s="84"/>
      <c r="VCW25" s="84"/>
      <c r="VCX25" s="84"/>
      <c r="VCY25" s="84"/>
      <c r="VCZ25" s="84"/>
      <c r="VDA25" s="84"/>
      <c r="VDB25" s="84"/>
      <c r="VDC25" s="84"/>
      <c r="VDD25" s="84"/>
      <c r="VDE25" s="84"/>
      <c r="VDF25" s="84"/>
      <c r="VDG25" s="84"/>
      <c r="VDH25" s="84"/>
      <c r="VDI25" s="84"/>
      <c r="VDJ25" s="84"/>
      <c r="VDK25" s="84"/>
      <c r="VDL25" s="84"/>
      <c r="VDM25" s="84"/>
      <c r="VDN25" s="84"/>
      <c r="VDO25" s="84"/>
      <c r="VDP25" s="84"/>
      <c r="VDQ25" s="84"/>
      <c r="VDR25" s="84"/>
      <c r="VDS25" s="84"/>
      <c r="VDT25" s="84"/>
      <c r="VDU25" s="84"/>
      <c r="VDV25" s="84"/>
      <c r="VDW25" s="84"/>
      <c r="VDX25" s="84"/>
      <c r="VDY25" s="84"/>
      <c r="VDZ25" s="84"/>
      <c r="VEA25" s="84"/>
      <c r="VEB25" s="84"/>
      <c r="VEC25" s="84"/>
      <c r="VED25" s="84"/>
      <c r="VEE25" s="84"/>
      <c r="VEF25" s="84"/>
      <c r="VEG25" s="84"/>
      <c r="VEH25" s="84"/>
      <c r="VEI25" s="84"/>
      <c r="VEJ25" s="84"/>
      <c r="VEK25" s="84"/>
      <c r="VEL25" s="84"/>
      <c r="VEM25" s="84"/>
      <c r="VEN25" s="84"/>
      <c r="VEO25" s="84"/>
      <c r="VEP25" s="84"/>
      <c r="VEQ25" s="84"/>
      <c r="VER25" s="84"/>
      <c r="VES25" s="84"/>
      <c r="VET25" s="84"/>
      <c r="VEU25" s="84"/>
      <c r="VEV25" s="84"/>
      <c r="VEW25" s="84"/>
      <c r="VEX25" s="84"/>
      <c r="VEY25" s="84"/>
      <c r="VEZ25" s="84"/>
      <c r="VFA25" s="84"/>
      <c r="VFB25" s="84"/>
      <c r="VFC25" s="84"/>
      <c r="VFD25" s="84"/>
      <c r="VFE25" s="84"/>
      <c r="VFF25" s="84"/>
      <c r="VFG25" s="84"/>
      <c r="VFH25" s="84"/>
      <c r="VFI25" s="84"/>
      <c r="VFJ25" s="84"/>
      <c r="VFK25" s="84"/>
      <c r="VFL25" s="84"/>
      <c r="VFM25" s="84"/>
      <c r="VFN25" s="84"/>
      <c r="VFO25" s="84"/>
      <c r="VFP25" s="84"/>
      <c r="VFQ25" s="84"/>
      <c r="VFR25" s="84"/>
      <c r="VFS25" s="84"/>
      <c r="VFT25" s="84"/>
      <c r="VFU25" s="84"/>
      <c r="VFV25" s="84"/>
      <c r="VFW25" s="84"/>
      <c r="VFX25" s="84"/>
      <c r="VFY25" s="84"/>
      <c r="VFZ25" s="84"/>
      <c r="VGA25" s="84"/>
      <c r="VGB25" s="84"/>
      <c r="VGC25" s="84"/>
      <c r="VGD25" s="84"/>
      <c r="VGE25" s="84"/>
      <c r="VGF25" s="84"/>
      <c r="VGG25" s="84"/>
      <c r="VGH25" s="84"/>
      <c r="VGI25" s="84"/>
      <c r="VGJ25" s="84"/>
      <c r="VGK25" s="84"/>
      <c r="VGL25" s="84"/>
      <c r="VGM25" s="84"/>
      <c r="VGN25" s="84"/>
      <c r="VGO25" s="84"/>
      <c r="VGP25" s="84"/>
      <c r="VGQ25" s="84"/>
      <c r="VGR25" s="84"/>
      <c r="VGS25" s="84"/>
      <c r="VGT25" s="84"/>
      <c r="VGU25" s="84"/>
      <c r="VGV25" s="84"/>
      <c r="VGW25" s="84"/>
      <c r="VGX25" s="84"/>
      <c r="VGY25" s="84"/>
      <c r="VGZ25" s="84"/>
      <c r="VHA25" s="84"/>
      <c r="VHB25" s="84"/>
      <c r="VHC25" s="84"/>
      <c r="VHD25" s="84"/>
      <c r="VHE25" s="84"/>
      <c r="VHF25" s="84"/>
      <c r="VHG25" s="84"/>
      <c r="VHH25" s="84"/>
      <c r="VHI25" s="84"/>
      <c r="VHJ25" s="84"/>
      <c r="VHK25" s="84"/>
      <c r="VHL25" s="84"/>
      <c r="VHM25" s="84"/>
      <c r="VHN25" s="84"/>
      <c r="VHO25" s="84"/>
      <c r="VHP25" s="84"/>
      <c r="VHQ25" s="84"/>
      <c r="VHR25" s="84"/>
      <c r="VHS25" s="84"/>
      <c r="VHT25" s="84"/>
      <c r="VHU25" s="84"/>
      <c r="VHV25" s="84"/>
      <c r="VHW25" s="84"/>
      <c r="VHX25" s="84"/>
      <c r="VHY25" s="84"/>
      <c r="VHZ25" s="84"/>
      <c r="VIA25" s="84"/>
      <c r="VIB25" s="84"/>
      <c r="VIC25" s="84"/>
      <c r="VID25" s="84"/>
      <c r="VIE25" s="84"/>
      <c r="VIF25" s="84"/>
      <c r="VIG25" s="84"/>
      <c r="VIH25" s="84"/>
      <c r="VII25" s="84"/>
      <c r="VIJ25" s="84"/>
      <c r="VIK25" s="84"/>
      <c r="VIL25" s="84"/>
      <c r="VIM25" s="84"/>
      <c r="VIN25" s="84"/>
      <c r="VIO25" s="84"/>
      <c r="VIP25" s="84"/>
      <c r="VIQ25" s="84"/>
      <c r="VIR25" s="84"/>
      <c r="VIS25" s="84"/>
      <c r="VIT25" s="84"/>
      <c r="VIU25" s="84"/>
      <c r="VIV25" s="84"/>
      <c r="VIW25" s="84"/>
      <c r="VIX25" s="84"/>
      <c r="VIY25" s="84"/>
      <c r="VIZ25" s="84"/>
      <c r="VJA25" s="84"/>
      <c r="VJB25" s="84"/>
      <c r="VJC25" s="84"/>
      <c r="VJD25" s="84"/>
      <c r="VJE25" s="84"/>
      <c r="VJF25" s="84"/>
      <c r="VJG25" s="84"/>
      <c r="VJH25" s="84"/>
      <c r="VJI25" s="84"/>
      <c r="VJJ25" s="84"/>
      <c r="VJK25" s="84"/>
      <c r="VJL25" s="84"/>
      <c r="VJM25" s="84"/>
      <c r="VJN25" s="84"/>
      <c r="VJO25" s="84"/>
      <c r="VJP25" s="84"/>
      <c r="VJQ25" s="84"/>
      <c r="VJR25" s="84"/>
      <c r="VJS25" s="84"/>
      <c r="VJT25" s="84"/>
      <c r="VJU25" s="84"/>
      <c r="VJV25" s="84"/>
      <c r="VJW25" s="84"/>
      <c r="VJX25" s="84"/>
      <c r="VJY25" s="84"/>
      <c r="VJZ25" s="84"/>
      <c r="VKA25" s="84"/>
      <c r="VKB25" s="84"/>
      <c r="VKC25" s="84"/>
      <c r="VKD25" s="84"/>
      <c r="VKE25" s="84"/>
      <c r="VKF25" s="84"/>
      <c r="VKG25" s="84"/>
      <c r="VKH25" s="84"/>
      <c r="VKI25" s="84"/>
      <c r="VKJ25" s="84"/>
      <c r="VKK25" s="84"/>
      <c r="VKL25" s="84"/>
      <c r="VKM25" s="84"/>
      <c r="VKN25" s="84"/>
      <c r="VKO25" s="84"/>
      <c r="VKP25" s="84"/>
      <c r="VKQ25" s="84"/>
      <c r="VKR25" s="84"/>
      <c r="VKS25" s="84"/>
      <c r="VKT25" s="84"/>
      <c r="VKU25" s="84"/>
      <c r="VKV25" s="84"/>
      <c r="VKW25" s="84"/>
      <c r="VKX25" s="84"/>
      <c r="VKY25" s="84"/>
      <c r="VKZ25" s="84"/>
      <c r="VLA25" s="84"/>
      <c r="VLB25" s="84"/>
      <c r="VLC25" s="84"/>
      <c r="VLD25" s="84"/>
      <c r="VLE25" s="84"/>
      <c r="VLF25" s="84"/>
      <c r="VLG25" s="84"/>
      <c r="VLH25" s="84"/>
      <c r="VLI25" s="84"/>
      <c r="VLJ25" s="84"/>
      <c r="VLK25" s="84"/>
      <c r="VLL25" s="84"/>
      <c r="VLM25" s="84"/>
      <c r="VLN25" s="84"/>
      <c r="VLO25" s="84"/>
      <c r="VLP25" s="84"/>
      <c r="VLQ25" s="84"/>
      <c r="VLR25" s="84"/>
      <c r="VLS25" s="84"/>
      <c r="VLT25" s="84"/>
      <c r="VLU25" s="84"/>
      <c r="VLV25" s="84"/>
      <c r="VLW25" s="84"/>
      <c r="VLX25" s="84"/>
      <c r="VLY25" s="84"/>
      <c r="VLZ25" s="84"/>
      <c r="VMA25" s="84"/>
      <c r="VMB25" s="84"/>
      <c r="VMC25" s="84"/>
      <c r="VMD25" s="84"/>
      <c r="VME25" s="84"/>
      <c r="VMF25" s="84"/>
      <c r="VMG25" s="84"/>
      <c r="VMH25" s="84"/>
      <c r="VMI25" s="84"/>
      <c r="VMJ25" s="84"/>
      <c r="VMK25" s="84"/>
      <c r="VML25" s="84"/>
      <c r="VMM25" s="84"/>
      <c r="VMN25" s="84"/>
      <c r="VMO25" s="84"/>
      <c r="VMP25" s="84"/>
      <c r="VMQ25" s="84"/>
      <c r="VMR25" s="84"/>
      <c r="VMS25" s="84"/>
      <c r="VMT25" s="84"/>
      <c r="VMU25" s="84"/>
      <c r="VMV25" s="84"/>
      <c r="VMW25" s="84"/>
      <c r="VMX25" s="84"/>
      <c r="VMY25" s="84"/>
      <c r="VMZ25" s="84"/>
      <c r="VNA25" s="84"/>
      <c r="VNB25" s="84"/>
      <c r="VNC25" s="84"/>
      <c r="VND25" s="84"/>
      <c r="VNE25" s="84"/>
      <c r="VNF25" s="84"/>
      <c r="VNG25" s="84"/>
      <c r="VNH25" s="84"/>
      <c r="VNI25" s="84"/>
      <c r="VNJ25" s="84"/>
      <c r="VNK25" s="84"/>
      <c r="VNL25" s="84"/>
      <c r="VNM25" s="84"/>
      <c r="VNN25" s="84"/>
      <c r="VNO25" s="84"/>
      <c r="VNP25" s="84"/>
      <c r="VNQ25" s="84"/>
      <c r="VNR25" s="84"/>
      <c r="VNS25" s="84"/>
      <c r="VNT25" s="84"/>
      <c r="VNU25" s="84"/>
      <c r="VNV25" s="84"/>
      <c r="VNW25" s="84"/>
      <c r="VNX25" s="84"/>
      <c r="VNY25" s="84"/>
      <c r="VNZ25" s="84"/>
      <c r="VOA25" s="84"/>
      <c r="VOB25" s="84"/>
      <c r="VOC25" s="84"/>
      <c r="VOD25" s="84"/>
      <c r="VOE25" s="84"/>
      <c r="VOF25" s="84"/>
      <c r="VOG25" s="84"/>
      <c r="VOH25" s="84"/>
      <c r="VOI25" s="84"/>
      <c r="VOJ25" s="84"/>
      <c r="VOK25" s="84"/>
      <c r="VOL25" s="84"/>
      <c r="VOM25" s="84"/>
      <c r="VON25" s="84"/>
      <c r="VOO25" s="84"/>
      <c r="VOP25" s="84"/>
      <c r="VOQ25" s="84"/>
      <c r="VOR25" s="84"/>
      <c r="VOS25" s="84"/>
      <c r="VOT25" s="84"/>
      <c r="VOU25" s="84"/>
      <c r="VOV25" s="84"/>
      <c r="VOW25" s="84"/>
      <c r="VOX25" s="84"/>
      <c r="VOY25" s="84"/>
      <c r="VOZ25" s="84"/>
      <c r="VPA25" s="84"/>
      <c r="VPB25" s="84"/>
      <c r="VPC25" s="84"/>
      <c r="VPD25" s="84"/>
      <c r="VPE25" s="84"/>
      <c r="VPF25" s="84"/>
      <c r="VPG25" s="84"/>
      <c r="VPH25" s="84"/>
      <c r="VPI25" s="84"/>
      <c r="VPJ25" s="84"/>
      <c r="VPK25" s="84"/>
      <c r="VPL25" s="84"/>
      <c r="VPM25" s="84"/>
      <c r="VPN25" s="84"/>
      <c r="VPO25" s="84"/>
      <c r="VPP25" s="84"/>
      <c r="VPQ25" s="84"/>
      <c r="VPR25" s="84"/>
      <c r="VPS25" s="84"/>
      <c r="VPT25" s="84"/>
      <c r="VPU25" s="84"/>
      <c r="VPV25" s="84"/>
      <c r="VPW25" s="84"/>
      <c r="VPX25" s="84"/>
      <c r="VPY25" s="84"/>
      <c r="VPZ25" s="84"/>
      <c r="VQA25" s="84"/>
      <c r="VQB25" s="84"/>
      <c r="VQC25" s="84"/>
      <c r="VQD25" s="84"/>
      <c r="VQE25" s="84"/>
      <c r="VQF25" s="84"/>
      <c r="VQG25" s="84"/>
      <c r="VQH25" s="84"/>
      <c r="VQI25" s="84"/>
      <c r="VQJ25" s="84"/>
      <c r="VQK25" s="84"/>
      <c r="VQL25" s="84"/>
      <c r="VQM25" s="84"/>
      <c r="VQN25" s="84"/>
      <c r="VQO25" s="84"/>
      <c r="VQP25" s="84"/>
      <c r="VQQ25" s="84"/>
      <c r="VQR25" s="84"/>
      <c r="VQS25" s="84"/>
      <c r="VQT25" s="84"/>
      <c r="VQU25" s="84"/>
      <c r="VQV25" s="84"/>
      <c r="VQW25" s="84"/>
      <c r="VQX25" s="84"/>
      <c r="VQY25" s="84"/>
      <c r="VQZ25" s="84"/>
      <c r="VRA25" s="84"/>
      <c r="VRB25" s="84"/>
      <c r="VRC25" s="84"/>
      <c r="VRD25" s="84"/>
      <c r="VRE25" s="84"/>
      <c r="VRF25" s="84"/>
      <c r="VRG25" s="84"/>
      <c r="VRH25" s="84"/>
      <c r="VRI25" s="84"/>
      <c r="VRJ25" s="84"/>
      <c r="VRK25" s="84"/>
      <c r="VRL25" s="84"/>
      <c r="VRM25" s="84"/>
      <c r="VRN25" s="84"/>
      <c r="VRO25" s="84"/>
      <c r="VRP25" s="84"/>
      <c r="VRQ25" s="84"/>
      <c r="VRR25" s="84"/>
      <c r="VRS25" s="84"/>
      <c r="VRT25" s="84"/>
      <c r="VRU25" s="84"/>
      <c r="VRV25" s="84"/>
      <c r="VRW25" s="84"/>
      <c r="VRX25" s="84"/>
      <c r="VRY25" s="84"/>
      <c r="VRZ25" s="84"/>
      <c r="VSA25" s="84"/>
      <c r="VSB25" s="84"/>
      <c r="VSC25" s="84"/>
      <c r="VSD25" s="84"/>
      <c r="VSE25" s="84"/>
      <c r="VSF25" s="84"/>
      <c r="VSG25" s="84"/>
      <c r="VSH25" s="84"/>
      <c r="VSI25" s="84"/>
      <c r="VSJ25" s="84"/>
      <c r="VSK25" s="84"/>
      <c r="VSL25" s="84"/>
      <c r="VSM25" s="84"/>
      <c r="VSN25" s="84"/>
      <c r="VSO25" s="84"/>
      <c r="VSP25" s="84"/>
      <c r="VSQ25" s="84"/>
      <c r="VSR25" s="84"/>
      <c r="VSS25" s="84"/>
      <c r="VST25" s="84"/>
      <c r="VSU25" s="84"/>
      <c r="VSV25" s="84"/>
      <c r="VSW25" s="84"/>
      <c r="VSX25" s="84"/>
      <c r="VSY25" s="84"/>
      <c r="VSZ25" s="84"/>
      <c r="VTA25" s="84"/>
      <c r="VTB25" s="84"/>
      <c r="VTC25" s="84"/>
      <c r="VTD25" s="84"/>
      <c r="VTE25" s="84"/>
      <c r="VTF25" s="84"/>
      <c r="VTG25" s="84"/>
      <c r="VTH25" s="84"/>
      <c r="VTI25" s="84"/>
      <c r="VTJ25" s="84"/>
      <c r="VTK25" s="84"/>
      <c r="VTL25" s="84"/>
      <c r="VTM25" s="84"/>
      <c r="VTN25" s="84"/>
      <c r="VTO25" s="84"/>
      <c r="VTP25" s="84"/>
      <c r="VTQ25" s="84"/>
      <c r="VTR25" s="84"/>
      <c r="VTS25" s="84"/>
      <c r="VTT25" s="84"/>
      <c r="VTU25" s="84"/>
      <c r="VTV25" s="84"/>
      <c r="VTW25" s="84"/>
      <c r="VTX25" s="84"/>
      <c r="VTY25" s="84"/>
      <c r="VTZ25" s="84"/>
      <c r="VUA25" s="84"/>
      <c r="VUB25" s="84"/>
      <c r="VUC25" s="84"/>
      <c r="VUD25" s="84"/>
      <c r="VUE25" s="84"/>
      <c r="VUF25" s="84"/>
      <c r="VUG25" s="84"/>
      <c r="VUH25" s="84"/>
      <c r="VUI25" s="84"/>
      <c r="VUJ25" s="84"/>
      <c r="VUK25" s="84"/>
      <c r="VUL25" s="84"/>
      <c r="VUM25" s="84"/>
      <c r="VUN25" s="84"/>
      <c r="VUO25" s="84"/>
      <c r="VUP25" s="84"/>
      <c r="VUQ25" s="84"/>
      <c r="VUR25" s="84"/>
      <c r="VUS25" s="84"/>
      <c r="VUT25" s="84"/>
      <c r="VUU25" s="84"/>
      <c r="VUV25" s="84"/>
      <c r="VUW25" s="84"/>
      <c r="VUX25" s="84"/>
      <c r="VUY25" s="84"/>
      <c r="VUZ25" s="84"/>
      <c r="VVA25" s="84"/>
      <c r="VVB25" s="84"/>
      <c r="VVC25" s="84"/>
      <c r="VVD25" s="84"/>
      <c r="VVE25" s="84"/>
      <c r="VVF25" s="84"/>
      <c r="VVG25" s="84"/>
      <c r="VVH25" s="84"/>
      <c r="VVI25" s="84"/>
      <c r="VVJ25" s="84"/>
      <c r="VVK25" s="84"/>
      <c r="VVL25" s="84"/>
      <c r="VVM25" s="84"/>
      <c r="VVN25" s="84"/>
      <c r="VVO25" s="84"/>
      <c r="VVP25" s="84"/>
      <c r="VVQ25" s="84"/>
      <c r="VVR25" s="84"/>
      <c r="VVS25" s="84"/>
      <c r="VVT25" s="84"/>
      <c r="VVU25" s="84"/>
      <c r="VVV25" s="84"/>
      <c r="VVW25" s="84"/>
      <c r="VVX25" s="84"/>
      <c r="VVY25" s="84"/>
      <c r="VVZ25" s="84"/>
      <c r="VWA25" s="84"/>
      <c r="VWB25" s="84"/>
      <c r="VWC25" s="84"/>
      <c r="VWD25" s="84"/>
      <c r="VWE25" s="84"/>
      <c r="VWF25" s="84"/>
      <c r="VWG25" s="84"/>
      <c r="VWH25" s="84"/>
      <c r="VWI25" s="84"/>
      <c r="VWJ25" s="84"/>
      <c r="VWK25" s="84"/>
      <c r="VWL25" s="84"/>
      <c r="VWM25" s="84"/>
      <c r="VWN25" s="84"/>
      <c r="VWO25" s="84"/>
      <c r="VWP25" s="84"/>
      <c r="VWQ25" s="84"/>
      <c r="VWR25" s="84"/>
      <c r="VWS25" s="84"/>
      <c r="VWT25" s="84"/>
      <c r="VWU25" s="84"/>
      <c r="VWV25" s="84"/>
      <c r="VWW25" s="84"/>
      <c r="VWX25" s="84"/>
      <c r="VWY25" s="84"/>
      <c r="VWZ25" s="84"/>
      <c r="VXA25" s="84"/>
      <c r="VXB25" s="84"/>
      <c r="VXC25" s="84"/>
      <c r="VXD25" s="84"/>
      <c r="VXE25" s="84"/>
      <c r="VXF25" s="84"/>
      <c r="VXG25" s="84"/>
      <c r="VXH25" s="84"/>
      <c r="VXI25" s="84"/>
      <c r="VXJ25" s="84"/>
      <c r="VXK25" s="84"/>
      <c r="VXL25" s="84"/>
      <c r="VXM25" s="84"/>
      <c r="VXN25" s="84"/>
      <c r="VXO25" s="84"/>
      <c r="VXP25" s="84"/>
      <c r="VXQ25" s="84"/>
      <c r="VXR25" s="84"/>
      <c r="VXS25" s="84"/>
      <c r="VXT25" s="84"/>
      <c r="VXU25" s="84"/>
      <c r="VXV25" s="84"/>
      <c r="VXW25" s="84"/>
      <c r="VXX25" s="84"/>
      <c r="VXY25" s="84"/>
      <c r="VXZ25" s="84"/>
      <c r="VYA25" s="84"/>
      <c r="VYB25" s="84"/>
      <c r="VYC25" s="84"/>
      <c r="VYD25" s="84"/>
      <c r="VYE25" s="84"/>
      <c r="VYF25" s="84"/>
      <c r="VYG25" s="84"/>
      <c r="VYH25" s="84"/>
      <c r="VYI25" s="84"/>
      <c r="VYJ25" s="84"/>
      <c r="VYK25" s="84"/>
      <c r="VYL25" s="84"/>
      <c r="VYM25" s="84"/>
      <c r="VYN25" s="84"/>
      <c r="VYO25" s="84"/>
      <c r="VYP25" s="84"/>
      <c r="VYQ25" s="84"/>
      <c r="VYR25" s="84"/>
      <c r="VYS25" s="84"/>
      <c r="VYT25" s="84"/>
      <c r="VYU25" s="84"/>
      <c r="VYV25" s="84"/>
      <c r="VYW25" s="84"/>
      <c r="VYX25" s="84"/>
      <c r="VYY25" s="84"/>
      <c r="VYZ25" s="84"/>
      <c r="VZA25" s="84"/>
      <c r="VZB25" s="84"/>
      <c r="VZC25" s="84"/>
      <c r="VZD25" s="84"/>
      <c r="VZE25" s="84"/>
      <c r="VZF25" s="84"/>
      <c r="VZG25" s="84"/>
      <c r="VZH25" s="84"/>
      <c r="VZI25" s="84"/>
      <c r="VZJ25" s="84"/>
      <c r="VZK25" s="84"/>
      <c r="VZL25" s="84"/>
      <c r="VZM25" s="84"/>
      <c r="VZN25" s="84"/>
      <c r="VZO25" s="84"/>
      <c r="VZP25" s="84"/>
      <c r="VZQ25" s="84"/>
      <c r="VZR25" s="84"/>
      <c r="VZS25" s="84"/>
      <c r="VZT25" s="84"/>
      <c r="VZU25" s="84"/>
      <c r="VZV25" s="84"/>
      <c r="VZW25" s="84"/>
      <c r="VZX25" s="84"/>
      <c r="VZY25" s="84"/>
      <c r="VZZ25" s="84"/>
      <c r="WAA25" s="84"/>
      <c r="WAB25" s="84"/>
      <c r="WAC25" s="84"/>
      <c r="WAD25" s="84"/>
      <c r="WAE25" s="84"/>
      <c r="WAF25" s="84"/>
      <c r="WAG25" s="84"/>
      <c r="WAH25" s="84"/>
      <c r="WAI25" s="84"/>
      <c r="WAJ25" s="84"/>
      <c r="WAK25" s="84"/>
      <c r="WAL25" s="84"/>
      <c r="WAM25" s="84"/>
      <c r="WAN25" s="84"/>
      <c r="WAO25" s="84"/>
      <c r="WAP25" s="84"/>
      <c r="WAQ25" s="84"/>
      <c r="WAR25" s="84"/>
      <c r="WAS25" s="84"/>
      <c r="WAT25" s="84"/>
      <c r="WAU25" s="84"/>
      <c r="WAV25" s="84"/>
      <c r="WAW25" s="84"/>
      <c r="WAX25" s="84"/>
      <c r="WAY25" s="84"/>
      <c r="WAZ25" s="84"/>
      <c r="WBA25" s="84"/>
      <c r="WBB25" s="84"/>
      <c r="WBC25" s="84"/>
      <c r="WBD25" s="84"/>
      <c r="WBE25" s="84"/>
      <c r="WBF25" s="84"/>
      <c r="WBG25" s="84"/>
      <c r="WBH25" s="84"/>
      <c r="WBI25" s="84"/>
      <c r="WBJ25" s="84"/>
      <c r="WBK25" s="84"/>
      <c r="WBL25" s="84"/>
      <c r="WBM25" s="84"/>
      <c r="WBN25" s="84"/>
      <c r="WBO25" s="84"/>
      <c r="WBP25" s="84"/>
      <c r="WBQ25" s="84"/>
      <c r="WBR25" s="84"/>
      <c r="WBS25" s="84"/>
      <c r="WBT25" s="84"/>
      <c r="WBU25" s="84"/>
      <c r="WBV25" s="84"/>
      <c r="WBW25" s="84"/>
      <c r="WBX25" s="84"/>
      <c r="WBY25" s="84"/>
      <c r="WBZ25" s="84"/>
      <c r="WCA25" s="84"/>
      <c r="WCB25" s="84"/>
      <c r="WCC25" s="84"/>
      <c r="WCD25" s="84"/>
      <c r="WCE25" s="84"/>
      <c r="WCF25" s="84"/>
      <c r="WCG25" s="84"/>
      <c r="WCH25" s="84"/>
      <c r="WCI25" s="84"/>
      <c r="WCJ25" s="84"/>
      <c r="WCK25" s="84"/>
      <c r="WCL25" s="84"/>
      <c r="WCM25" s="84"/>
      <c r="WCN25" s="84"/>
      <c r="WCO25" s="84"/>
      <c r="WCP25" s="84"/>
      <c r="WCQ25" s="84"/>
      <c r="WCR25" s="84"/>
      <c r="WCS25" s="84"/>
      <c r="WCT25" s="84"/>
      <c r="WCU25" s="84"/>
      <c r="WCV25" s="84"/>
      <c r="WCW25" s="84"/>
      <c r="WCX25" s="84"/>
      <c r="WCY25" s="84"/>
      <c r="WCZ25" s="84"/>
      <c r="WDA25" s="84"/>
      <c r="WDB25" s="84"/>
      <c r="WDC25" s="84"/>
      <c r="WDD25" s="84"/>
      <c r="WDE25" s="84"/>
      <c r="WDF25" s="84"/>
      <c r="WDG25" s="84"/>
      <c r="WDH25" s="84"/>
      <c r="WDI25" s="84"/>
      <c r="WDJ25" s="84"/>
      <c r="WDK25" s="84"/>
      <c r="WDL25" s="84"/>
      <c r="WDM25" s="84"/>
      <c r="WDN25" s="84"/>
      <c r="WDO25" s="84"/>
      <c r="WDP25" s="84"/>
      <c r="WDQ25" s="84"/>
      <c r="WDR25" s="84"/>
      <c r="WDS25" s="84"/>
      <c r="WDT25" s="84"/>
      <c r="WDU25" s="84"/>
      <c r="WDV25" s="84"/>
      <c r="WDW25" s="84"/>
      <c r="WDX25" s="84"/>
      <c r="WDY25" s="84"/>
      <c r="WDZ25" s="84"/>
      <c r="WEA25" s="84"/>
      <c r="WEB25" s="84"/>
      <c r="WEC25" s="84"/>
      <c r="WED25" s="84"/>
      <c r="WEE25" s="84"/>
      <c r="WEF25" s="84"/>
      <c r="WEG25" s="84"/>
      <c r="WEH25" s="84"/>
      <c r="WEI25" s="84"/>
      <c r="WEJ25" s="84"/>
      <c r="WEK25" s="84"/>
      <c r="WEL25" s="84"/>
      <c r="WEM25" s="84"/>
      <c r="WEN25" s="84"/>
      <c r="WEO25" s="84"/>
      <c r="WEP25" s="84"/>
      <c r="WEQ25" s="84"/>
      <c r="WER25" s="84"/>
      <c r="WES25" s="84"/>
      <c r="WET25" s="84"/>
      <c r="WEU25" s="84"/>
      <c r="WEV25" s="84"/>
      <c r="WEW25" s="84"/>
      <c r="WEX25" s="84"/>
      <c r="WEY25" s="84"/>
      <c r="WEZ25" s="84"/>
      <c r="WFA25" s="84"/>
      <c r="WFB25" s="84"/>
      <c r="WFC25" s="84"/>
      <c r="WFD25" s="84"/>
      <c r="WFE25" s="84"/>
      <c r="WFF25" s="84"/>
      <c r="WFG25" s="84"/>
      <c r="WFH25" s="84"/>
      <c r="WFI25" s="84"/>
      <c r="WFJ25" s="84"/>
      <c r="WFK25" s="84"/>
      <c r="WFL25" s="84"/>
      <c r="WFM25" s="84"/>
      <c r="WFN25" s="84"/>
      <c r="WFO25" s="84"/>
      <c r="WFP25" s="84"/>
      <c r="WFQ25" s="84"/>
      <c r="WFR25" s="84"/>
      <c r="WFS25" s="84"/>
      <c r="WFT25" s="84"/>
      <c r="WFU25" s="84"/>
      <c r="WFV25" s="84"/>
      <c r="WFW25" s="84"/>
      <c r="WFX25" s="84"/>
      <c r="WFY25" s="84"/>
      <c r="WFZ25" s="84"/>
      <c r="WGA25" s="84"/>
      <c r="WGB25" s="84"/>
      <c r="WGC25" s="84"/>
      <c r="WGD25" s="84"/>
      <c r="WGE25" s="84"/>
      <c r="WGF25" s="84"/>
      <c r="WGG25" s="84"/>
      <c r="WGH25" s="84"/>
      <c r="WGI25" s="84"/>
      <c r="WGJ25" s="84"/>
      <c r="WGK25" s="84"/>
      <c r="WGL25" s="84"/>
      <c r="WGM25" s="84"/>
      <c r="WGN25" s="84"/>
      <c r="WGO25" s="84"/>
      <c r="WGP25" s="84"/>
      <c r="WGQ25" s="84"/>
      <c r="WGR25" s="84"/>
      <c r="WGS25" s="84"/>
      <c r="WGT25" s="84"/>
      <c r="WGU25" s="84"/>
      <c r="WGV25" s="84"/>
      <c r="WGW25" s="84"/>
      <c r="WGX25" s="84"/>
      <c r="WGY25" s="84"/>
      <c r="WGZ25" s="84"/>
      <c r="WHA25" s="84"/>
      <c r="WHB25" s="84"/>
      <c r="WHC25" s="84"/>
      <c r="WHD25" s="84"/>
      <c r="WHE25" s="84"/>
      <c r="WHF25" s="84"/>
      <c r="WHG25" s="84"/>
      <c r="WHH25" s="84"/>
      <c r="WHI25" s="84"/>
      <c r="WHJ25" s="84"/>
      <c r="WHK25" s="84"/>
      <c r="WHL25" s="84"/>
      <c r="WHM25" s="84"/>
      <c r="WHN25" s="84"/>
      <c r="WHO25" s="84"/>
      <c r="WHP25" s="84"/>
      <c r="WHQ25" s="84"/>
      <c r="WHR25" s="84"/>
      <c r="WHS25" s="84"/>
      <c r="WHT25" s="84"/>
      <c r="WHU25" s="84"/>
      <c r="WHV25" s="84"/>
      <c r="WHW25" s="84"/>
      <c r="WHX25" s="84"/>
      <c r="WHY25" s="84"/>
      <c r="WHZ25" s="84"/>
      <c r="WIA25" s="84"/>
      <c r="WIB25" s="84"/>
      <c r="WIC25" s="84"/>
      <c r="WID25" s="84"/>
      <c r="WIE25" s="84"/>
      <c r="WIF25" s="84"/>
      <c r="WIG25" s="84"/>
      <c r="WIH25" s="84"/>
      <c r="WII25" s="84"/>
      <c r="WIJ25" s="84"/>
      <c r="WIK25" s="84"/>
      <c r="WIL25" s="84"/>
      <c r="WIM25" s="84"/>
      <c r="WIN25" s="84"/>
      <c r="WIO25" s="84"/>
      <c r="WIP25" s="84"/>
      <c r="WIQ25" s="84"/>
      <c r="WIR25" s="84"/>
      <c r="WIS25" s="84"/>
      <c r="WIT25" s="84"/>
      <c r="WIU25" s="84"/>
      <c r="WIV25" s="84"/>
      <c r="WIW25" s="84"/>
      <c r="WIX25" s="84"/>
      <c r="WIY25" s="84"/>
      <c r="WIZ25" s="84"/>
      <c r="WJA25" s="84"/>
      <c r="WJB25" s="84"/>
      <c r="WJC25" s="84"/>
      <c r="WJD25" s="84"/>
      <c r="WJE25" s="84"/>
      <c r="WJF25" s="84"/>
      <c r="WJG25" s="84"/>
      <c r="WJH25" s="84"/>
      <c r="WJI25" s="84"/>
      <c r="WJJ25" s="84"/>
      <c r="WJK25" s="84"/>
      <c r="WJL25" s="84"/>
      <c r="WJM25" s="84"/>
      <c r="WJN25" s="84"/>
      <c r="WJO25" s="84"/>
      <c r="WJP25" s="84"/>
      <c r="WJQ25" s="84"/>
      <c r="WJR25" s="84"/>
      <c r="WJS25" s="84"/>
      <c r="WJT25" s="84"/>
      <c r="WJU25" s="84"/>
      <c r="WJV25" s="84"/>
      <c r="WJW25" s="84"/>
      <c r="WJX25" s="84"/>
      <c r="WJY25" s="84"/>
      <c r="WJZ25" s="84"/>
      <c r="WKA25" s="84"/>
      <c r="WKB25" s="84"/>
      <c r="WKC25" s="84"/>
      <c r="WKD25" s="84"/>
      <c r="WKE25" s="84"/>
      <c r="WKF25" s="84"/>
      <c r="WKG25" s="84"/>
      <c r="WKH25" s="84"/>
      <c r="WKI25" s="84"/>
      <c r="WKJ25" s="84"/>
      <c r="WKK25" s="84"/>
      <c r="WKL25" s="84"/>
      <c r="WKM25" s="84"/>
      <c r="WKN25" s="84"/>
      <c r="WKO25" s="84"/>
      <c r="WKP25" s="84"/>
      <c r="WKQ25" s="84"/>
      <c r="WKR25" s="84"/>
      <c r="WKS25" s="84"/>
      <c r="WKT25" s="84"/>
      <c r="WKU25" s="84"/>
      <c r="WKV25" s="84"/>
      <c r="WKW25" s="84"/>
      <c r="WKX25" s="84"/>
      <c r="WKY25" s="84"/>
      <c r="WKZ25" s="84"/>
      <c r="WLA25" s="84"/>
      <c r="WLB25" s="84"/>
      <c r="WLC25" s="84"/>
      <c r="WLD25" s="84"/>
      <c r="WLE25" s="84"/>
      <c r="WLF25" s="84"/>
      <c r="WLG25" s="84"/>
      <c r="WLH25" s="84"/>
      <c r="WLI25" s="84"/>
      <c r="WLJ25" s="84"/>
      <c r="WLK25" s="84"/>
      <c r="WLL25" s="84"/>
      <c r="WLM25" s="84"/>
      <c r="WLN25" s="84"/>
      <c r="WLO25" s="84"/>
      <c r="WLP25" s="84"/>
      <c r="WLQ25" s="84"/>
      <c r="WLR25" s="84"/>
      <c r="WLS25" s="84"/>
      <c r="WLT25" s="84"/>
      <c r="WLU25" s="84"/>
      <c r="WLV25" s="84"/>
      <c r="WLW25" s="84"/>
      <c r="WLX25" s="84"/>
      <c r="WLY25" s="84"/>
      <c r="WLZ25" s="84"/>
      <c r="WMA25" s="84"/>
      <c r="WMB25" s="84"/>
      <c r="WMC25" s="84"/>
      <c r="WMD25" s="84"/>
      <c r="WME25" s="84"/>
      <c r="WMF25" s="84"/>
      <c r="WMG25" s="84"/>
      <c r="WMH25" s="84"/>
      <c r="WMI25" s="84"/>
      <c r="WMJ25" s="84"/>
      <c r="WMK25" s="84"/>
      <c r="WML25" s="84"/>
      <c r="WMM25" s="84"/>
      <c r="WMN25" s="84"/>
      <c r="WMO25" s="84"/>
      <c r="WMP25" s="84"/>
      <c r="WMQ25" s="84"/>
      <c r="WMR25" s="84"/>
      <c r="WMS25" s="84"/>
      <c r="WMT25" s="84"/>
      <c r="WMU25" s="84"/>
      <c r="WMV25" s="84"/>
      <c r="WMW25" s="84"/>
      <c r="WMX25" s="84"/>
      <c r="WMY25" s="84"/>
      <c r="WMZ25" s="84"/>
      <c r="WNA25" s="84"/>
      <c r="WNB25" s="84"/>
      <c r="WNC25" s="84"/>
      <c r="WND25" s="84"/>
      <c r="WNE25" s="84"/>
      <c r="WNF25" s="84"/>
      <c r="WNG25" s="84"/>
      <c r="WNH25" s="84"/>
      <c r="WNI25" s="84"/>
      <c r="WNJ25" s="84"/>
      <c r="WNK25" s="84"/>
      <c r="WNL25" s="84"/>
      <c r="WNM25" s="84"/>
      <c r="WNN25" s="84"/>
      <c r="WNO25" s="84"/>
      <c r="WNP25" s="84"/>
      <c r="WNQ25" s="84"/>
      <c r="WNR25" s="84"/>
      <c r="WNS25" s="84"/>
      <c r="WNT25" s="84"/>
      <c r="WNU25" s="84"/>
      <c r="WNV25" s="84"/>
      <c r="WNW25" s="84"/>
      <c r="WNX25" s="84"/>
      <c r="WNY25" s="84"/>
      <c r="WNZ25" s="84"/>
      <c r="WOA25" s="84"/>
      <c r="WOB25" s="84"/>
      <c r="WOC25" s="84"/>
      <c r="WOD25" s="84"/>
      <c r="WOE25" s="84"/>
      <c r="WOF25" s="84"/>
      <c r="WOG25" s="84"/>
      <c r="WOH25" s="84"/>
      <c r="WOI25" s="84"/>
      <c r="WOJ25" s="84"/>
      <c r="WOK25" s="84"/>
      <c r="WOL25" s="84"/>
      <c r="WOM25" s="84"/>
      <c r="WON25" s="84"/>
      <c r="WOO25" s="84"/>
      <c r="WOP25" s="84"/>
      <c r="WOQ25" s="84"/>
      <c r="WOR25" s="84"/>
      <c r="WOS25" s="84"/>
      <c r="WOT25" s="84"/>
      <c r="WOU25" s="84"/>
      <c r="WOV25" s="84"/>
      <c r="WOW25" s="84"/>
      <c r="WOX25" s="84"/>
      <c r="WOY25" s="84"/>
      <c r="WOZ25" s="84"/>
      <c r="WPA25" s="84"/>
      <c r="WPB25" s="84"/>
      <c r="WPC25" s="84"/>
      <c r="WPD25" s="84"/>
      <c r="WPE25" s="84"/>
      <c r="WPF25" s="84"/>
      <c r="WPG25" s="84"/>
      <c r="WPH25" s="84"/>
      <c r="WPI25" s="84"/>
      <c r="WPJ25" s="84"/>
      <c r="WPK25" s="84"/>
      <c r="WPL25" s="84"/>
      <c r="WPM25" s="84"/>
      <c r="WPN25" s="84"/>
      <c r="WPO25" s="84"/>
      <c r="WPP25" s="84"/>
      <c r="WPQ25" s="84"/>
      <c r="WPR25" s="84"/>
      <c r="WPS25" s="84"/>
      <c r="WPT25" s="84"/>
      <c r="WPU25" s="84"/>
      <c r="WPV25" s="84"/>
      <c r="WPW25" s="84"/>
      <c r="WPX25" s="84"/>
      <c r="WPY25" s="84"/>
      <c r="WPZ25" s="84"/>
      <c r="WQA25" s="84"/>
      <c r="WQB25" s="84"/>
      <c r="WQC25" s="84"/>
      <c r="WQD25" s="84"/>
      <c r="WQE25" s="84"/>
      <c r="WQF25" s="84"/>
      <c r="WQG25" s="84"/>
      <c r="WQH25" s="84"/>
      <c r="WQI25" s="84"/>
      <c r="WQJ25" s="84"/>
      <c r="WQK25" s="84"/>
      <c r="WQL25" s="84"/>
      <c r="WQM25" s="84"/>
      <c r="WQN25" s="84"/>
      <c r="WQO25" s="84"/>
      <c r="WQP25" s="84"/>
      <c r="WQQ25" s="84"/>
      <c r="WQR25" s="84"/>
      <c r="WQS25" s="84"/>
      <c r="WQT25" s="84"/>
      <c r="WQU25" s="84"/>
      <c r="WQV25" s="84"/>
      <c r="WQW25" s="84"/>
      <c r="WQX25" s="84"/>
      <c r="WQY25" s="84"/>
      <c r="WQZ25" s="84"/>
      <c r="WRA25" s="84"/>
      <c r="WRB25" s="84"/>
      <c r="WRC25" s="84"/>
      <c r="WRD25" s="84"/>
      <c r="WRE25" s="84"/>
      <c r="WRF25" s="84"/>
      <c r="WRG25" s="84"/>
      <c r="WRH25" s="84"/>
      <c r="WRI25" s="84"/>
      <c r="WRJ25" s="84"/>
      <c r="WRK25" s="84"/>
      <c r="WRL25" s="84"/>
      <c r="WRM25" s="84"/>
      <c r="WRN25" s="84"/>
      <c r="WRO25" s="84"/>
      <c r="WRP25" s="84"/>
      <c r="WRQ25" s="84"/>
      <c r="WRR25" s="84"/>
      <c r="WRS25" s="84"/>
      <c r="WRT25" s="84"/>
      <c r="WRU25" s="84"/>
      <c r="WRV25" s="84"/>
      <c r="WRW25" s="84"/>
      <c r="WRX25" s="84"/>
      <c r="WRY25" s="84"/>
      <c r="WRZ25" s="84"/>
      <c r="WSA25" s="84"/>
      <c r="WSB25" s="84"/>
      <c r="WSC25" s="84"/>
      <c r="WSD25" s="84"/>
      <c r="WSE25" s="84"/>
      <c r="WSF25" s="84"/>
      <c r="WSG25" s="84"/>
      <c r="WSH25" s="84"/>
      <c r="WSI25" s="84"/>
      <c r="WSJ25" s="84"/>
      <c r="WSK25" s="84"/>
      <c r="WSL25" s="84"/>
      <c r="WSM25" s="84"/>
      <c r="WSN25" s="84"/>
      <c r="WSO25" s="84"/>
      <c r="WSP25" s="84"/>
      <c r="WSQ25" s="84"/>
      <c r="WSR25" s="84"/>
      <c r="WSS25" s="84"/>
      <c r="WST25" s="84"/>
      <c r="WSU25" s="84"/>
      <c r="WSV25" s="84"/>
      <c r="WSW25" s="84"/>
      <c r="WSX25" s="84"/>
      <c r="WSY25" s="84"/>
      <c r="WSZ25" s="84"/>
      <c r="WTA25" s="84"/>
      <c r="WTB25" s="84"/>
      <c r="WTC25" s="84"/>
      <c r="WTD25" s="84"/>
      <c r="WTE25" s="84"/>
      <c r="WTF25" s="84"/>
      <c r="WTG25" s="84"/>
      <c r="WTH25" s="84"/>
      <c r="WTI25" s="84"/>
      <c r="WTJ25" s="84"/>
      <c r="WTK25" s="84"/>
      <c r="WTL25" s="84"/>
      <c r="WTM25" s="84"/>
      <c r="WTN25" s="84"/>
      <c r="WTO25" s="84"/>
      <c r="WTP25" s="84"/>
      <c r="WTQ25" s="84"/>
      <c r="WTR25" s="84"/>
      <c r="WTS25" s="84"/>
      <c r="WTT25" s="84"/>
      <c r="WTU25" s="84"/>
      <c r="WTV25" s="84"/>
      <c r="WTW25" s="84"/>
      <c r="WTX25" s="84"/>
      <c r="WTY25" s="84"/>
      <c r="WTZ25" s="84"/>
      <c r="WUA25" s="84"/>
      <c r="WUB25" s="84"/>
      <c r="WUC25" s="84"/>
      <c r="WUD25" s="84"/>
      <c r="WUE25" s="84"/>
      <c r="WUF25" s="84"/>
      <c r="WUG25" s="84"/>
      <c r="WUH25" s="84"/>
      <c r="WUI25" s="84"/>
      <c r="WUJ25" s="84"/>
      <c r="WUK25" s="84"/>
      <c r="WUL25" s="84"/>
      <c r="WUM25" s="84"/>
      <c r="WUN25" s="84"/>
      <c r="WUO25" s="84"/>
      <c r="WUP25" s="84"/>
      <c r="WUQ25" s="84"/>
      <c r="WUR25" s="84"/>
      <c r="WUS25" s="84"/>
      <c r="WUT25" s="84"/>
      <c r="WUU25" s="84"/>
      <c r="WUV25" s="84"/>
      <c r="WUW25" s="84"/>
      <c r="WUX25" s="84"/>
      <c r="WUY25" s="84"/>
      <c r="WUZ25" s="84"/>
      <c r="WVA25" s="84"/>
      <c r="WVB25" s="84"/>
      <c r="WVC25" s="84"/>
      <c r="WVD25" s="84"/>
      <c r="WVE25" s="84"/>
      <c r="WVF25" s="84"/>
      <c r="WVG25" s="84"/>
      <c r="WVH25" s="84"/>
      <c r="WVI25" s="84"/>
      <c r="WVJ25" s="84"/>
      <c r="WVK25" s="84"/>
      <c r="WVL25" s="84"/>
      <c r="WVM25" s="84"/>
      <c r="WVN25" s="84"/>
      <c r="WVO25" s="84"/>
      <c r="WVP25" s="84"/>
      <c r="WVQ25" s="84"/>
      <c r="WVR25" s="84"/>
      <c r="WVS25" s="84"/>
      <c r="WVT25" s="84"/>
      <c r="WVU25" s="84"/>
      <c r="WVV25" s="84"/>
      <c r="WVW25" s="84"/>
      <c r="WVX25" s="84"/>
      <c r="WVY25" s="84"/>
      <c r="WVZ25" s="84"/>
      <c r="WWA25" s="84"/>
      <c r="WWB25" s="84"/>
      <c r="WWC25" s="84"/>
      <c r="WWD25" s="84"/>
      <c r="WWE25" s="84"/>
      <c r="WWF25" s="84"/>
      <c r="WWG25" s="84"/>
      <c r="WWH25" s="84"/>
      <c r="WWI25" s="84"/>
      <c r="WWJ25" s="84"/>
      <c r="WWK25" s="84"/>
      <c r="WWL25" s="84"/>
      <c r="WWM25" s="84"/>
      <c r="WWN25" s="84"/>
      <c r="WWO25" s="84"/>
      <c r="WWP25" s="84"/>
      <c r="WWQ25" s="84"/>
      <c r="WWR25" s="84"/>
      <c r="WWS25" s="84"/>
      <c r="WWT25" s="84"/>
      <c r="WWU25" s="84"/>
      <c r="WWV25" s="84"/>
      <c r="WWW25" s="84"/>
      <c r="WWX25" s="84"/>
      <c r="WWY25" s="84"/>
      <c r="WWZ25" s="84"/>
      <c r="WXA25" s="84"/>
      <c r="WXB25" s="84"/>
      <c r="WXC25" s="84"/>
      <c r="WXD25" s="84"/>
      <c r="WXE25" s="84"/>
      <c r="WXF25" s="84"/>
      <c r="WXG25" s="84"/>
      <c r="WXH25" s="84"/>
      <c r="WXI25" s="84"/>
      <c r="WXJ25" s="84"/>
      <c r="WXK25" s="84"/>
      <c r="WXL25" s="84"/>
      <c r="WXM25" s="84"/>
      <c r="WXN25" s="84"/>
      <c r="WXO25" s="84"/>
      <c r="WXP25" s="84"/>
      <c r="WXQ25" s="84"/>
      <c r="WXR25" s="84"/>
      <c r="WXS25" s="84"/>
      <c r="WXT25" s="84"/>
      <c r="WXU25" s="84"/>
      <c r="WXV25" s="84"/>
      <c r="WXW25" s="84"/>
      <c r="WXX25" s="84"/>
      <c r="WXY25" s="84"/>
      <c r="WXZ25" s="84"/>
      <c r="WYA25" s="84"/>
      <c r="WYB25" s="84"/>
      <c r="WYC25" s="84"/>
      <c r="WYD25" s="84"/>
      <c r="WYE25" s="84"/>
      <c r="WYF25" s="84"/>
      <c r="WYG25" s="84"/>
      <c r="WYH25" s="84"/>
      <c r="WYI25" s="84"/>
      <c r="WYJ25" s="84"/>
      <c r="WYK25" s="84"/>
      <c r="WYL25" s="84"/>
      <c r="WYM25" s="84"/>
      <c r="WYN25" s="84"/>
      <c r="WYO25" s="84"/>
      <c r="WYP25" s="84"/>
      <c r="WYQ25" s="84"/>
      <c r="WYR25" s="84"/>
      <c r="WYS25" s="84"/>
      <c r="WYT25" s="84"/>
      <c r="WYU25" s="84"/>
      <c r="WYV25" s="84"/>
      <c r="WYW25" s="84"/>
      <c r="WYX25" s="84"/>
      <c r="WYY25" s="84"/>
      <c r="WYZ25" s="84"/>
      <c r="WZA25" s="84"/>
      <c r="WZB25" s="84"/>
      <c r="WZC25" s="84"/>
      <c r="WZD25" s="84"/>
      <c r="WZE25" s="84"/>
      <c r="WZF25" s="84"/>
      <c r="WZG25" s="84"/>
      <c r="WZH25" s="84"/>
      <c r="WZI25" s="84"/>
      <c r="WZJ25" s="84"/>
      <c r="WZK25" s="84"/>
      <c r="WZL25" s="84"/>
      <c r="WZM25" s="84"/>
      <c r="WZN25" s="84"/>
      <c r="WZO25" s="84"/>
      <c r="WZP25" s="84"/>
      <c r="WZQ25" s="84"/>
      <c r="WZR25" s="84"/>
      <c r="WZS25" s="84"/>
      <c r="WZT25" s="84"/>
      <c r="WZU25" s="84"/>
      <c r="WZV25" s="84"/>
      <c r="WZW25" s="84"/>
      <c r="WZX25" s="84"/>
      <c r="WZY25" s="84"/>
      <c r="WZZ25" s="84"/>
      <c r="XAA25" s="84"/>
      <c r="XAB25" s="84"/>
      <c r="XAC25" s="84"/>
      <c r="XAD25" s="84"/>
      <c r="XAE25" s="84"/>
      <c r="XAF25" s="84"/>
      <c r="XAG25" s="84"/>
      <c r="XAH25" s="84"/>
      <c r="XAI25" s="84"/>
      <c r="XAJ25" s="84"/>
      <c r="XAK25" s="84"/>
      <c r="XAL25" s="84"/>
      <c r="XAM25" s="84"/>
      <c r="XAN25" s="84"/>
      <c r="XAO25" s="84"/>
      <c r="XAP25" s="84"/>
      <c r="XAQ25" s="84"/>
      <c r="XAR25" s="84"/>
      <c r="XAS25" s="84"/>
      <c r="XAT25" s="84"/>
      <c r="XAU25" s="84"/>
      <c r="XAV25" s="84"/>
      <c r="XAW25" s="84"/>
      <c r="XAX25" s="84"/>
      <c r="XAY25" s="84"/>
      <c r="XAZ25" s="84"/>
      <c r="XBA25" s="84"/>
      <c r="XBB25" s="84"/>
      <c r="XBC25" s="84"/>
      <c r="XBD25" s="84"/>
      <c r="XBE25" s="84"/>
      <c r="XBF25" s="84"/>
      <c r="XBG25" s="84"/>
      <c r="XBH25" s="84"/>
      <c r="XBI25" s="84"/>
      <c r="XBJ25" s="84"/>
      <c r="XBK25" s="84"/>
      <c r="XBL25" s="84"/>
      <c r="XBM25" s="84"/>
      <c r="XBN25" s="84"/>
      <c r="XBO25" s="84"/>
      <c r="XBP25" s="84"/>
      <c r="XBQ25" s="84"/>
      <c r="XBR25" s="84"/>
      <c r="XBS25" s="84"/>
      <c r="XBT25" s="84"/>
      <c r="XBU25" s="84"/>
      <c r="XBV25" s="84"/>
      <c r="XBW25" s="84"/>
      <c r="XBX25" s="84"/>
      <c r="XBY25" s="84"/>
      <c r="XBZ25" s="84"/>
      <c r="XCA25" s="84"/>
      <c r="XCB25" s="84"/>
      <c r="XCC25" s="84"/>
      <c r="XCD25" s="84"/>
      <c r="XCE25" s="84"/>
      <c r="XCF25" s="84"/>
      <c r="XCG25" s="84"/>
      <c r="XCH25" s="84"/>
      <c r="XCI25" s="84"/>
      <c r="XCJ25" s="84"/>
      <c r="XCK25" s="84"/>
      <c r="XCL25" s="84"/>
      <c r="XCM25" s="84"/>
      <c r="XCN25" s="84"/>
      <c r="XCO25" s="84"/>
      <c r="XCP25" s="84"/>
      <c r="XCQ25" s="84"/>
      <c r="XCR25" s="84"/>
      <c r="XCS25" s="84"/>
    </row>
    <row r="26" spans="1:16321" s="84" customFormat="1" ht="15" customHeight="1">
      <c r="A26" s="85">
        <f>MAX($A$4:A25)+1</f>
        <v>22</v>
      </c>
      <c r="B26" s="147" t="s">
        <v>126</v>
      </c>
      <c r="C26" s="253" t="str">
        <f>"Table 4, Line "&amp;TEXT('T-4'!A63,"0")&amp;" "&amp;'T-4'!P3</f>
        <v>Table 4, Line 59 (O)</v>
      </c>
      <c r="D26" s="222"/>
      <c r="E26" s="88"/>
      <c r="F26" s="88"/>
      <c r="G26" s="161"/>
      <c r="H26" s="264">
        <f>'T-4'!P63</f>
        <v>11846.064829449097</v>
      </c>
      <c r="I26" s="264"/>
      <c r="J26" s="88"/>
      <c r="K26" s="81"/>
      <c r="L26" s="261"/>
      <c r="M26" s="91"/>
    </row>
    <row r="27" spans="1:16321" s="266" customFormat="1" ht="15" customHeight="1">
      <c r="A27" s="85">
        <f>MAX($A$4:A26)+1</f>
        <v>23</v>
      </c>
      <c r="B27" s="265" t="s">
        <v>41</v>
      </c>
      <c r="C27" s="255" t="str">
        <f>"Sum of Line "&amp;TEXT(A21,"0")&amp;" through Line "&amp;TEXT(A26,"0")</f>
        <v>Sum of Line 17 through Line 22</v>
      </c>
      <c r="D27" s="604"/>
      <c r="E27" s="600"/>
      <c r="F27" s="600"/>
      <c r="G27" s="600"/>
      <c r="H27" s="598">
        <f>SUM(H21:H26)</f>
        <v>53354.015805751864</v>
      </c>
      <c r="I27" s="264"/>
      <c r="J27" s="601"/>
      <c r="K27" s="247"/>
      <c r="L27" s="261"/>
    </row>
    <row r="28" spans="1:16321" s="266" customFormat="1" ht="15" customHeight="1">
      <c r="A28" s="85">
        <f>MAX($A$4:A27)+1</f>
        <v>24</v>
      </c>
      <c r="B28" s="213" t="s">
        <v>190</v>
      </c>
      <c r="C28" s="255"/>
      <c r="D28" s="604"/>
      <c r="E28" s="600"/>
      <c r="F28" s="600"/>
      <c r="G28" s="600"/>
      <c r="H28" s="264"/>
      <c r="I28" s="264"/>
      <c r="J28" s="601"/>
      <c r="K28" s="247"/>
      <c r="L28" s="261"/>
    </row>
    <row r="29" spans="1:16321" s="266" customFormat="1" ht="15" customHeight="1">
      <c r="A29" s="85">
        <f>MAX($A$4:A28)+1</f>
        <v>25</v>
      </c>
      <c r="B29" s="262" t="s">
        <v>340</v>
      </c>
      <c r="C29" s="273" t="str">
        <f>"Sum of Line "&amp;TEXT(A21,"0")&amp;" through Line "&amp;TEXT(A25,"0")</f>
        <v>Sum of Line 17 through Line 21</v>
      </c>
      <c r="D29" s="604"/>
      <c r="E29" s="600"/>
      <c r="F29" s="600"/>
      <c r="G29" s="600"/>
      <c r="H29" s="264">
        <f>SUM(H21:H25)</f>
        <v>41507.950976302767</v>
      </c>
      <c r="I29" s="264"/>
      <c r="J29" s="601"/>
      <c r="K29" s="247"/>
      <c r="L29" s="261"/>
    </row>
    <row r="30" spans="1:16321" s="266" customFormat="1" ht="15" customHeight="1">
      <c r="A30" s="85">
        <f>MAX($A$4:A29)+1</f>
        <v>26</v>
      </c>
      <c r="B30" s="147" t="s">
        <v>320</v>
      </c>
      <c r="C30" s="255" t="str">
        <f>"Line "&amp;TEXT(A27,"0")</f>
        <v>Line 23</v>
      </c>
      <c r="D30" s="604"/>
      <c r="E30" s="600"/>
      <c r="F30" s="600"/>
      <c r="G30" s="600"/>
      <c r="H30" s="605">
        <f>H27</f>
        <v>53354.015805751864</v>
      </c>
      <c r="I30" s="264"/>
      <c r="J30" s="601"/>
      <c r="K30" s="247"/>
      <c r="L30" s="261"/>
    </row>
    <row r="31" spans="1:16321" s="266" customFormat="1" ht="15" customHeight="1">
      <c r="A31" s="85">
        <f>MAX($A$4:A30)+1</f>
        <v>27</v>
      </c>
      <c r="B31" s="265" t="s">
        <v>192</v>
      </c>
      <c r="C31" s="255" t="str">
        <f>"Line "&amp;TEXT(A29,"0")&amp;" / Line "&amp;TEXT(A30,"0")</f>
        <v>Line 25 / Line 26</v>
      </c>
      <c r="D31" s="604"/>
      <c r="E31" s="600"/>
      <c r="F31" s="600"/>
      <c r="G31" s="600"/>
      <c r="H31" s="264"/>
      <c r="I31" s="606">
        <f>H29/H30</f>
        <v>0.77797238594790041</v>
      </c>
      <c r="J31" s="601"/>
      <c r="K31" s="247"/>
      <c r="L31" s="261"/>
    </row>
    <row r="32" spans="1:16321" s="266" customFormat="1" ht="15" customHeight="1">
      <c r="A32" s="85">
        <f>MAX($A$4:A31)+1</f>
        <v>28</v>
      </c>
      <c r="B32" s="262" t="s">
        <v>341</v>
      </c>
      <c r="C32" s="255" t="str">
        <f>"Line "&amp;TEXT(A26,"0")</f>
        <v>Line 22</v>
      </c>
      <c r="D32" s="604"/>
      <c r="E32" s="600"/>
      <c r="F32" s="600"/>
      <c r="G32" s="600"/>
      <c r="H32" s="264">
        <f>H26</f>
        <v>11846.064829449097</v>
      </c>
      <c r="I32" s="264"/>
      <c r="J32" s="601"/>
      <c r="K32" s="247"/>
      <c r="L32" s="261"/>
    </row>
    <row r="33" spans="1:13" s="266" customFormat="1" ht="15" customHeight="1">
      <c r="A33" s="85">
        <f>MAX($A$4:A32)+1</f>
        <v>29</v>
      </c>
      <c r="B33" s="147" t="s">
        <v>320</v>
      </c>
      <c r="C33" s="255" t="str">
        <f>"Line "&amp;TEXT(A27,"0")</f>
        <v>Line 23</v>
      </c>
      <c r="D33" s="604"/>
      <c r="E33" s="600"/>
      <c r="F33" s="600"/>
      <c r="G33" s="600"/>
      <c r="H33" s="605">
        <f>H27</f>
        <v>53354.015805751864</v>
      </c>
      <c r="I33" s="264"/>
      <c r="J33" s="601"/>
      <c r="K33" s="247"/>
      <c r="L33" s="261"/>
    </row>
    <row r="34" spans="1:13" s="266" customFormat="1" ht="15" customHeight="1">
      <c r="A34" s="85">
        <f>MAX($A$4:A33)+1</f>
        <v>30</v>
      </c>
      <c r="B34" s="265" t="s">
        <v>191</v>
      </c>
      <c r="C34" s="255" t="str">
        <f>"Line "&amp;TEXT(A32,"0")&amp;" / Line "&amp;TEXT(A33,"0")</f>
        <v>Line 28 / Line 29</v>
      </c>
      <c r="D34" s="604"/>
      <c r="E34" s="600"/>
      <c r="F34" s="600"/>
      <c r="G34" s="600"/>
      <c r="H34" s="264"/>
      <c r="I34" s="606">
        <f>H32/H33</f>
        <v>0.22202761405209959</v>
      </c>
      <c r="J34" s="601"/>
      <c r="K34" s="247"/>
      <c r="L34" s="261"/>
    </row>
    <row r="35" spans="1:13" s="266" customFormat="1" ht="15" customHeight="1">
      <c r="A35" s="85">
        <f>MAX($A$4:A34)+1</f>
        <v>31</v>
      </c>
      <c r="B35" s="213" t="s">
        <v>201</v>
      </c>
      <c r="C35" s="255"/>
      <c r="D35" s="604"/>
      <c r="E35" s="600"/>
      <c r="F35" s="600"/>
      <c r="G35" s="600"/>
      <c r="H35" s="264"/>
      <c r="I35" s="264"/>
      <c r="J35" s="601"/>
      <c r="K35" s="247"/>
      <c r="L35" s="261"/>
    </row>
    <row r="36" spans="1:13" s="266" customFormat="1" ht="15" customHeight="1">
      <c r="A36" s="85">
        <f>MAX($A$4:A35)+1</f>
        <v>32</v>
      </c>
      <c r="B36" s="262" t="s">
        <v>344</v>
      </c>
      <c r="C36" s="255"/>
      <c r="D36" s="604"/>
      <c r="E36" s="600"/>
      <c r="F36" s="600"/>
      <c r="G36" s="600"/>
      <c r="H36" s="264"/>
      <c r="I36" s="264"/>
      <c r="J36" s="601"/>
      <c r="K36" s="247"/>
      <c r="L36" s="261"/>
    </row>
    <row r="37" spans="1:13" s="266" customFormat="1" ht="15" customHeight="1">
      <c r="A37" s="85">
        <f>MAX($A$4:A36)+1</f>
        <v>33</v>
      </c>
      <c r="B37" s="265" t="str">
        <f>B19</f>
        <v>Total SCD Costs</v>
      </c>
      <c r="C37" s="255" t="str">
        <f>"Line "&amp;TEXT(A19,"0")</f>
        <v>Line 15</v>
      </c>
      <c r="D37" s="604"/>
      <c r="E37" s="600"/>
      <c r="F37" s="600"/>
      <c r="G37" s="264">
        <f>G19</f>
        <v>250617.96520252075</v>
      </c>
      <c r="H37" s="264"/>
      <c r="I37" s="264"/>
      <c r="J37" s="601"/>
      <c r="K37" s="247"/>
      <c r="L37" s="261"/>
    </row>
    <row r="38" spans="1:13" s="266" customFormat="1" ht="15" customHeight="1">
      <c r="A38" s="85">
        <f>MAX($A$4:A37)+1</f>
        <v>34</v>
      </c>
      <c r="B38" s="265" t="s">
        <v>322</v>
      </c>
      <c r="C38" s="255" t="str">
        <f>"Line "&amp;TEXT(A31,"0")</f>
        <v>Line 27</v>
      </c>
      <c r="D38" s="604"/>
      <c r="E38" s="600"/>
      <c r="F38" s="600"/>
      <c r="G38" s="600"/>
      <c r="H38" s="264"/>
      <c r="I38" s="606">
        <f>I31</f>
        <v>0.77797238594790041</v>
      </c>
      <c r="J38" s="601"/>
      <c r="K38" s="247"/>
      <c r="L38" s="261"/>
    </row>
    <row r="39" spans="1:13" s="266" customFormat="1" ht="15" customHeight="1">
      <c r="A39" s="85">
        <f>MAX($A$4:A38)+1</f>
        <v>35</v>
      </c>
      <c r="B39" s="265" t="s">
        <v>326</v>
      </c>
      <c r="C39" s="255" t="str">
        <f>"Line "&amp;TEXT(A37,"0")&amp;" x Line "&amp;TEXT(A38,"0")</f>
        <v>Line 33 x Line 34</v>
      </c>
      <c r="D39" s="604"/>
      <c r="E39" s="600"/>
      <c r="F39" s="600"/>
      <c r="G39" s="264">
        <f>G37*I38</f>
        <v>194973.85635001294</v>
      </c>
      <c r="H39" s="264"/>
      <c r="I39" s="264"/>
      <c r="J39" s="601"/>
      <c r="K39" s="247"/>
      <c r="L39" s="261"/>
    </row>
    <row r="40" spans="1:13" s="266" customFormat="1" ht="15" customHeight="1">
      <c r="A40" s="85">
        <f>MAX($A$4:A39)+1</f>
        <v>36</v>
      </c>
      <c r="B40" s="265" t="s">
        <v>345</v>
      </c>
      <c r="C40" s="255" t="str">
        <f>"Line "&amp;TEXT(A29,"0")</f>
        <v>Line 25</v>
      </c>
      <c r="D40" s="604"/>
      <c r="E40" s="600"/>
      <c r="F40" s="600"/>
      <c r="G40" s="600"/>
      <c r="H40" s="264">
        <f>H29</f>
        <v>41507.950976302767</v>
      </c>
      <c r="I40" s="264"/>
      <c r="J40" s="601"/>
      <c r="K40" s="247"/>
    </row>
    <row r="41" spans="1:13" s="266" customFormat="1" ht="15" customHeight="1">
      <c r="A41" s="85">
        <f>MAX($A$4:A40)+1</f>
        <v>37</v>
      </c>
      <c r="B41" s="276" t="s">
        <v>346</v>
      </c>
      <c r="C41" s="255" t="str">
        <f>"Line "&amp;TEXT(A39,"0")&amp;" / Line "&amp;TEXT(A40,"0")</f>
        <v>Line 35 / Line 36</v>
      </c>
      <c r="D41" s="604"/>
      <c r="E41" s="600"/>
      <c r="F41" s="600"/>
      <c r="G41" s="600"/>
      <c r="H41" s="264"/>
      <c r="I41" s="264"/>
      <c r="J41" s="607">
        <f>G39/H40</f>
        <v>4.6972652651855817</v>
      </c>
      <c r="K41" s="247"/>
      <c r="L41" s="84"/>
    </row>
    <row r="42" spans="1:13" s="266" customFormat="1" ht="15" customHeight="1">
      <c r="A42" s="85">
        <f>MAX($A$4:A41)+1</f>
        <v>38</v>
      </c>
      <c r="B42" s="276" t="s">
        <v>347</v>
      </c>
      <c r="C42" s="255" t="str">
        <f>"Line "&amp;TEXT(A41,"0")&amp;" / 12"</f>
        <v>Line 37 / 12</v>
      </c>
      <c r="D42" s="604"/>
      <c r="E42" s="600"/>
      <c r="F42" s="600"/>
      <c r="G42" s="600"/>
      <c r="H42" s="264"/>
      <c r="I42" s="264"/>
      <c r="J42" s="608">
        <f>ROUND(J41/12,3)</f>
        <v>0.39100000000000001</v>
      </c>
      <c r="K42" s="247"/>
      <c r="L42" s="84"/>
      <c r="M42" s="267"/>
    </row>
    <row r="43" spans="1:13" s="266" customFormat="1" ht="15" customHeight="1">
      <c r="A43" s="85">
        <f>MAX($A$4:A42)+1</f>
        <v>39</v>
      </c>
      <c r="B43" s="276" t="s">
        <v>342</v>
      </c>
      <c r="C43" s="255" t="str">
        <f>"Line "&amp;TEXT(A41,"0")&amp;" / 365 x (7/5)"</f>
        <v>Line 37 / 365 x (7/5)</v>
      </c>
      <c r="D43" s="604"/>
      <c r="E43" s="600"/>
      <c r="F43" s="600"/>
      <c r="G43" s="600"/>
      <c r="H43" s="264"/>
      <c r="I43" s="264"/>
      <c r="J43" s="608">
        <f>ROUND(J41/365*7/5,3)</f>
        <v>1.7999999999999999E-2</v>
      </c>
      <c r="K43" s="247"/>
      <c r="L43" s="84"/>
    </row>
    <row r="44" spans="1:13" s="266" customFormat="1" ht="15" customHeight="1">
      <c r="A44" s="85">
        <f>MAX($A$4:A43)+1</f>
        <v>40</v>
      </c>
      <c r="B44" s="276" t="s">
        <v>343</v>
      </c>
      <c r="C44" s="255" t="str">
        <f>"Line "&amp;TEXT(A41,"0")&amp;" / 365"</f>
        <v>Line 37 / 365</v>
      </c>
      <c r="D44" s="604"/>
      <c r="E44" s="600"/>
      <c r="F44" s="600"/>
      <c r="G44" s="600"/>
      <c r="H44" s="264"/>
      <c r="I44" s="264"/>
      <c r="J44" s="608">
        <f>ROUND(J41/365,3)</f>
        <v>1.2999999999999999E-2</v>
      </c>
      <c r="K44" s="247"/>
      <c r="L44" s="84"/>
    </row>
    <row r="45" spans="1:13" s="266" customFormat="1" ht="15" customHeight="1">
      <c r="A45" s="85">
        <f>MAX($A$4:A44)+1</f>
        <v>41</v>
      </c>
      <c r="B45" s="276" t="s">
        <v>38</v>
      </c>
      <c r="C45" s="255" t="str">
        <f>"Line "&amp;TEXT(A41,"0")&amp;" / 8.76 x (7/5) x (24/16)"</f>
        <v>Line 37 / 8.76 x (7/5) x (24/16)</v>
      </c>
      <c r="D45" s="604"/>
      <c r="E45" s="600"/>
      <c r="F45" s="600"/>
      <c r="G45" s="600"/>
      <c r="H45" s="264"/>
      <c r="I45" s="264"/>
      <c r="J45" s="607">
        <f>ROUND(J41/8.76*7/5*24/16,2)</f>
        <v>1.1299999999999999</v>
      </c>
      <c r="K45" s="247"/>
      <c r="L45" s="84"/>
    </row>
    <row r="46" spans="1:13" s="266" customFormat="1" ht="15" customHeight="1">
      <c r="A46" s="85">
        <f>MAX($A$4:A45)+1</f>
        <v>42</v>
      </c>
      <c r="B46" s="262" t="s">
        <v>329</v>
      </c>
      <c r="C46" s="255"/>
      <c r="D46" s="604"/>
      <c r="E46" s="600"/>
      <c r="F46" s="600"/>
      <c r="G46" s="600"/>
      <c r="H46" s="264"/>
      <c r="I46" s="264"/>
      <c r="J46" s="601"/>
      <c r="K46" s="247"/>
      <c r="L46" s="261"/>
    </row>
    <row r="47" spans="1:13" s="266" customFormat="1" ht="15" customHeight="1">
      <c r="A47" s="85">
        <f>MAX($A$4:A46)+1</f>
        <v>43</v>
      </c>
      <c r="B47" s="265" t="str">
        <f>B19</f>
        <v>Total SCD Costs</v>
      </c>
      <c r="C47" s="255" t="str">
        <f>"Line "&amp;TEXT(A19,"0")</f>
        <v>Line 15</v>
      </c>
      <c r="D47" s="604"/>
      <c r="E47" s="600"/>
      <c r="F47" s="600"/>
      <c r="G47" s="264">
        <f>G19</f>
        <v>250617.96520252075</v>
      </c>
      <c r="H47" s="264"/>
      <c r="I47" s="264"/>
      <c r="J47" s="601"/>
      <c r="K47" s="247"/>
      <c r="L47" s="261"/>
    </row>
    <row r="48" spans="1:13" s="266" customFormat="1" ht="15" customHeight="1">
      <c r="A48" s="85">
        <f>MAX($A$4:A47)+1</f>
        <v>44</v>
      </c>
      <c r="B48" s="265" t="s">
        <v>323</v>
      </c>
      <c r="C48" s="255" t="str">
        <f>"Line "&amp;TEXT(A34,"0")</f>
        <v>Line 30</v>
      </c>
      <c r="D48" s="604"/>
      <c r="E48" s="600"/>
      <c r="F48" s="600"/>
      <c r="G48" s="600"/>
      <c r="H48" s="264"/>
      <c r="I48" s="606">
        <f>I34</f>
        <v>0.22202761405209959</v>
      </c>
      <c r="J48" s="601"/>
      <c r="K48" s="247"/>
      <c r="L48" s="261"/>
    </row>
    <row r="49" spans="1:13" s="266" customFormat="1" ht="15" customHeight="1">
      <c r="A49" s="85">
        <f>MAX($A$4:A48)+1</f>
        <v>45</v>
      </c>
      <c r="B49" s="265" t="s">
        <v>348</v>
      </c>
      <c r="C49" s="255" t="str">
        <f>"Line "&amp;TEXT(A47,"0")&amp;" x Line "&amp;TEXT(A48,"0")</f>
        <v>Line 43 x Line 44</v>
      </c>
      <c r="D49" s="604"/>
      <c r="E49" s="600"/>
      <c r="F49" s="600"/>
      <c r="G49" s="264">
        <f>G47*I48</f>
        <v>55644.108852507801</v>
      </c>
      <c r="H49" s="264"/>
      <c r="I49" s="264"/>
      <c r="J49" s="601"/>
      <c r="K49" s="247"/>
      <c r="L49" s="261"/>
    </row>
    <row r="50" spans="1:13" s="266" customFormat="1" ht="15" customHeight="1">
      <c r="A50" s="85">
        <f>MAX($A$4:A49)+1</f>
        <v>46</v>
      </c>
      <c r="B50" s="265" t="s">
        <v>349</v>
      </c>
      <c r="C50" s="255" t="str">
        <f>"Table 6, Line "&amp;TEXT('T-6'!A10,"0")&amp;" "&amp;'T-6'!E3</f>
        <v>Table 6, Line 6 (D)</v>
      </c>
      <c r="D50" s="604"/>
      <c r="E50" s="600"/>
      <c r="F50" s="600"/>
      <c r="G50" s="600"/>
      <c r="H50" s="264">
        <f>'T-6'!E10</f>
        <v>10101.81732602987</v>
      </c>
      <c r="I50" s="264"/>
      <c r="J50" s="601"/>
      <c r="K50" s="247"/>
      <c r="L50" s="261"/>
    </row>
    <row r="51" spans="1:13" s="266" customFormat="1" ht="15" customHeight="1">
      <c r="A51" s="85">
        <f>MAX($A$4:A50)+1</f>
        <v>47</v>
      </c>
      <c r="B51" s="276" t="s">
        <v>350</v>
      </c>
      <c r="C51" s="255" t="str">
        <f>"Line "&amp;TEXT(A49,"0")&amp;" / Line "&amp;TEXT(A50,"0")</f>
        <v>Line 45 / Line 46</v>
      </c>
      <c r="D51" s="604"/>
      <c r="E51" s="600"/>
      <c r="F51" s="600"/>
      <c r="G51" s="600"/>
      <c r="H51" s="264"/>
      <c r="I51" s="264"/>
      <c r="J51" s="607">
        <f>G49/H50</f>
        <v>5.5083265769543051</v>
      </c>
      <c r="K51" s="247"/>
      <c r="L51" s="84"/>
    </row>
    <row r="52" spans="1:13" s="266" customFormat="1" ht="15" customHeight="1">
      <c r="A52" s="85">
        <f>MAX($A$4:A51)+1</f>
        <v>48</v>
      </c>
      <c r="B52" s="276" t="s">
        <v>351</v>
      </c>
      <c r="C52" s="255" t="str">
        <f>"Line "&amp;TEXT(A51,"0")&amp;" / 12"</f>
        <v>Line 47 / 12</v>
      </c>
      <c r="D52" s="604"/>
      <c r="E52" s="600"/>
      <c r="F52" s="600"/>
      <c r="G52" s="600"/>
      <c r="H52" s="264"/>
      <c r="I52" s="264"/>
      <c r="J52" s="608">
        <f>ROUND(J51/12,3)</f>
        <v>0.45900000000000002</v>
      </c>
      <c r="K52" s="247"/>
      <c r="L52" s="84"/>
      <c r="M52" s="267"/>
    </row>
    <row r="53" spans="1:13" s="266" customFormat="1" ht="15" customHeight="1">
      <c r="A53" s="85">
        <f>MAX($A$4:A52)+1</f>
        <v>49</v>
      </c>
      <c r="B53" s="259" t="s">
        <v>46</v>
      </c>
      <c r="C53" s="268"/>
      <c r="D53" s="604"/>
      <c r="E53" s="600"/>
      <c r="F53" s="600"/>
      <c r="G53" s="600"/>
      <c r="H53" s="298"/>
      <c r="I53" s="298"/>
      <c r="J53" s="601"/>
      <c r="K53" s="247"/>
      <c r="L53" s="244"/>
    </row>
    <row r="54" spans="1:13" s="266" customFormat="1" ht="15" customHeight="1">
      <c r="A54" s="85">
        <f>MAX($A$4:A53)+1</f>
        <v>50</v>
      </c>
      <c r="B54" s="172" t="s">
        <v>204</v>
      </c>
      <c r="C54" s="268"/>
      <c r="D54" s="604"/>
      <c r="E54" s="600"/>
      <c r="F54" s="600"/>
      <c r="G54" s="600"/>
      <c r="H54" s="298"/>
      <c r="I54" s="298"/>
      <c r="J54" s="601"/>
      <c r="K54" s="247"/>
      <c r="L54" s="244"/>
    </row>
    <row r="55" spans="1:13" s="266" customFormat="1" ht="15" customHeight="1">
      <c r="A55" s="85">
        <f>MAX($A$4:A54)+1</f>
        <v>51</v>
      </c>
      <c r="B55" s="147" t="s">
        <v>37</v>
      </c>
      <c r="C55" s="268" t="str">
        <f>"Line "&amp;TEXT(A52,"0")</f>
        <v>Line 48</v>
      </c>
      <c r="D55" s="604"/>
      <c r="E55" s="600"/>
      <c r="F55" s="600"/>
      <c r="G55" s="600"/>
      <c r="H55" s="298"/>
      <c r="I55" s="298"/>
      <c r="J55" s="608">
        <f>J52</f>
        <v>0.45900000000000002</v>
      </c>
      <c r="K55" s="277" t="s">
        <v>28</v>
      </c>
      <c r="L55" s="244"/>
    </row>
    <row r="56" spans="1:13" s="266" customFormat="1" ht="15" customHeight="1">
      <c r="A56" s="85">
        <f>MAX($A$4:A55)+1</f>
        <v>52</v>
      </c>
      <c r="B56" s="172" t="s">
        <v>203</v>
      </c>
      <c r="C56" s="268"/>
      <c r="D56" s="604"/>
      <c r="E56" s="600"/>
      <c r="F56" s="600"/>
      <c r="G56" s="600"/>
      <c r="H56" s="298"/>
      <c r="I56" s="298"/>
      <c r="J56" s="608"/>
      <c r="K56" s="279"/>
      <c r="L56" s="244"/>
    </row>
    <row r="57" spans="1:13" s="266" customFormat="1" ht="15" customHeight="1">
      <c r="A57" s="85">
        <f>MAX($A$4:A56)+1</f>
        <v>53</v>
      </c>
      <c r="B57" s="147" t="s">
        <v>36</v>
      </c>
      <c r="C57" s="166" t="str">
        <f>"Line "&amp;TEXT(A41,"0")</f>
        <v>Line 37</v>
      </c>
      <c r="D57" s="601"/>
      <c r="E57" s="600"/>
      <c r="F57" s="600"/>
      <c r="G57" s="224"/>
      <c r="H57" s="298"/>
      <c r="I57" s="298"/>
      <c r="J57" s="609">
        <f>J41</f>
        <v>4.6972652651855817</v>
      </c>
      <c r="K57" s="277" t="s">
        <v>52</v>
      </c>
      <c r="L57" s="244"/>
    </row>
    <row r="58" spans="1:13" s="266" customFormat="1" ht="15" customHeight="1">
      <c r="A58" s="85">
        <f>MAX($A$4:A57)+1</f>
        <v>54</v>
      </c>
      <c r="B58" s="147" t="s">
        <v>37</v>
      </c>
      <c r="C58" s="166" t="str">
        <f>"Line "&amp;TEXT(A42,"0")</f>
        <v>Line 38</v>
      </c>
      <c r="D58" s="601"/>
      <c r="E58" s="600"/>
      <c r="F58" s="600"/>
      <c r="G58" s="224"/>
      <c r="H58" s="298"/>
      <c r="I58" s="298"/>
      <c r="J58" s="610">
        <f>J42</f>
        <v>0.39100000000000001</v>
      </c>
      <c r="K58" s="277" t="s">
        <v>28</v>
      </c>
      <c r="L58" s="244"/>
    </row>
    <row r="59" spans="1:13" s="266" customFormat="1" ht="15" customHeight="1">
      <c r="A59" s="85">
        <f>MAX($A$4:A58)+1</f>
        <v>55</v>
      </c>
      <c r="B59" s="147" t="s">
        <v>47</v>
      </c>
      <c r="C59" s="166" t="str">
        <f>"Line "&amp;TEXT(A43,"0")</f>
        <v>Line 39</v>
      </c>
      <c r="D59" s="601"/>
      <c r="E59" s="600"/>
      <c r="F59" s="600"/>
      <c r="G59" s="224"/>
      <c r="H59" s="298"/>
      <c r="I59" s="298"/>
      <c r="J59" s="610">
        <f>J43</f>
        <v>1.7999999999999999E-2</v>
      </c>
      <c r="K59" s="277" t="s">
        <v>53</v>
      </c>
      <c r="L59" s="244"/>
    </row>
    <row r="60" spans="1:13" s="266" customFormat="1" ht="15" customHeight="1">
      <c r="A60" s="85">
        <f>MAX($A$4:A59)+1</f>
        <v>56</v>
      </c>
      <c r="B60" s="147" t="s">
        <v>48</v>
      </c>
      <c r="C60" s="166" t="str">
        <f>"Line "&amp;TEXT(A44,"0")</f>
        <v>Line 40</v>
      </c>
      <c r="D60" s="601"/>
      <c r="E60" s="600"/>
      <c r="F60" s="600"/>
      <c r="G60" s="224"/>
      <c r="H60" s="298"/>
      <c r="I60" s="298"/>
      <c r="J60" s="611">
        <f>J44</f>
        <v>1.2999999999999999E-2</v>
      </c>
      <c r="K60" s="277" t="s">
        <v>53</v>
      </c>
      <c r="L60" s="244"/>
    </row>
    <row r="61" spans="1:13" s="266" customFormat="1" ht="15" customHeight="1">
      <c r="A61" s="85">
        <f>MAX($A$4:A60)+1</f>
        <v>57</v>
      </c>
      <c r="B61" s="147" t="s">
        <v>38</v>
      </c>
      <c r="C61" s="166" t="str">
        <f>"Line "&amp;TEXT(A45,"0")</f>
        <v>Line 41</v>
      </c>
      <c r="D61" s="601"/>
      <c r="E61" s="600"/>
      <c r="F61" s="600"/>
      <c r="G61" s="224"/>
      <c r="H61" s="298"/>
      <c r="I61" s="298"/>
      <c r="J61" s="609">
        <f>J45</f>
        <v>1.1299999999999999</v>
      </c>
      <c r="K61" s="277" t="s">
        <v>57</v>
      </c>
      <c r="L61" s="244"/>
    </row>
    <row r="62" spans="1:13" ht="15" customHeight="1">
      <c r="A62" s="85">
        <f>MAX($A$4:A61)+1</f>
        <v>58</v>
      </c>
      <c r="B62" s="249" t="s">
        <v>31</v>
      </c>
      <c r="C62" s="246" t="s">
        <v>101</v>
      </c>
      <c r="D62" s="298">
        <v>0</v>
      </c>
      <c r="E62" s="298">
        <v>0</v>
      </c>
      <c r="F62" s="298"/>
      <c r="G62" s="298">
        <f>AVERAGE(D62:E62)</f>
        <v>0</v>
      </c>
      <c r="H62" s="298"/>
      <c r="I62" s="298"/>
      <c r="J62" s="383">
        <v>0</v>
      </c>
      <c r="K62" s="278" t="s">
        <v>53</v>
      </c>
      <c r="M62" s="269"/>
    </row>
    <row r="63" spans="1:13" ht="15" customHeight="1">
      <c r="A63" s="85"/>
      <c r="B63" s="249"/>
      <c r="C63" s="246"/>
      <c r="D63" s="298"/>
      <c r="E63" s="298"/>
      <c r="F63" s="298"/>
      <c r="G63" s="298"/>
      <c r="H63" s="251"/>
      <c r="I63" s="251"/>
      <c r="J63" s="383"/>
      <c r="K63" s="278"/>
      <c r="M63" s="269"/>
    </row>
    <row r="64" spans="1:13" ht="15" customHeight="1">
      <c r="A64" s="98"/>
      <c r="B64" s="270" t="s">
        <v>161</v>
      </c>
      <c r="C64" s="246"/>
      <c r="D64" s="251"/>
      <c r="E64" s="251"/>
      <c r="F64" s="251"/>
      <c r="G64" s="251"/>
      <c r="H64" s="251"/>
      <c r="I64" s="251"/>
      <c r="J64" s="251"/>
      <c r="K64" s="89"/>
      <c r="M64" s="269"/>
    </row>
  </sheetData>
  <mergeCells count="2">
    <mergeCell ref="A1:K1"/>
    <mergeCell ref="A2:K2"/>
  </mergeCells>
  <phoneticPr fontId="49" type="noConversion"/>
  <conditionalFormatting sqref="L20">
    <cfRule type="cellIs" dxfId="29" priority="8" operator="equal">
      <formula>"You're Good!"</formula>
    </cfRule>
    <cfRule type="cellIs" dxfId="28" priority="9" operator="equal">
      <formula>"Keep Going!"</formula>
    </cfRule>
  </conditionalFormatting>
  <conditionalFormatting sqref="L41:L45">
    <cfRule type="containsText" dxfId="27" priority="2" operator="containsText" text="UP">
      <formula>NOT(ISERROR(SEARCH("UP",L41)))</formula>
    </cfRule>
  </conditionalFormatting>
  <conditionalFormatting sqref="L51:L52">
    <cfRule type="containsText" dxfId="26" priority="1" operator="containsText" text="UP">
      <formula>NOT(ISERROR(SEARCH("UP",L51)))</formula>
    </cfRule>
  </conditionalFormatting>
  <printOptions horizontalCentered="1"/>
  <pageMargins left="0.5" right="0.5" top="1" bottom="1" header="0.5" footer="0.5"/>
  <pageSetup scale="65" fitToHeight="0" orientation="landscape" blackAndWhite="1" horizontalDpi="2400" verticalDpi="2400" r:id="rId1"/>
  <headerFooter alignWithMargins="0"/>
  <rowBreaks count="2" manualBreakCount="2">
    <brk id="34" max="9" man="1"/>
    <brk id="52" max="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2">
    <tabColor theme="3" tint="0.79998168889431442"/>
  </sheetPr>
  <dimension ref="A1:H45"/>
  <sheetViews>
    <sheetView zoomScaleNormal="100" workbookViewId="0">
      <selection sqref="A1:G1"/>
    </sheetView>
  </sheetViews>
  <sheetFormatPr defaultColWidth="9.28515625" defaultRowHeight="14.25"/>
  <cols>
    <col min="1" max="1" width="4.28515625" style="282" customWidth="1"/>
    <col min="2" max="2" width="60" style="282" customWidth="1"/>
    <col min="3" max="3" width="45.7109375" style="282" customWidth="1"/>
    <col min="4" max="12" width="17.140625" style="282" customWidth="1"/>
    <col min="13" max="16384" width="9.28515625" style="282"/>
  </cols>
  <sheetData>
    <row r="1" spans="1:8" s="280" customFormat="1" ht="18.75" customHeight="1">
      <c r="A1" s="551" t="s">
        <v>441</v>
      </c>
      <c r="B1" s="551"/>
      <c r="C1" s="551"/>
      <c r="D1" s="551"/>
      <c r="E1" s="551"/>
      <c r="F1" s="551"/>
      <c r="G1" s="551"/>
    </row>
    <row r="2" spans="1:8" s="280" customFormat="1" ht="18.75" customHeight="1">
      <c r="A2" s="551" t="s">
        <v>409</v>
      </c>
      <c r="B2" s="551"/>
      <c r="C2" s="551"/>
      <c r="D2" s="551"/>
      <c r="E2" s="551"/>
      <c r="F2" s="551"/>
      <c r="G2" s="551"/>
    </row>
    <row r="3" spans="1:8" s="84" customFormat="1" ht="15" customHeight="1">
      <c r="A3" s="158"/>
      <c r="B3" s="292" t="s">
        <v>0</v>
      </c>
      <c r="C3" s="208" t="s">
        <v>2</v>
      </c>
      <c r="D3" s="83" t="s">
        <v>1</v>
      </c>
      <c r="E3" s="82" t="s">
        <v>3</v>
      </c>
      <c r="F3" s="83" t="s">
        <v>4</v>
      </c>
      <c r="G3" s="208" t="s">
        <v>5</v>
      </c>
    </row>
    <row r="4" spans="1:8" s="84" customFormat="1" ht="15" customHeight="1">
      <c r="A4" s="158"/>
      <c r="B4" s="209" t="s">
        <v>479</v>
      </c>
      <c r="C4" s="210" t="s">
        <v>30</v>
      </c>
      <c r="D4" s="210" t="s">
        <v>44</v>
      </c>
      <c r="E4" s="210" t="s">
        <v>45</v>
      </c>
      <c r="F4" s="210" t="s">
        <v>35</v>
      </c>
      <c r="G4" s="210" t="s">
        <v>46</v>
      </c>
    </row>
    <row r="5" spans="1:8" s="84" customFormat="1" ht="15" customHeight="1">
      <c r="A5" s="85">
        <f>MAX($A$4:A4)+1</f>
        <v>1</v>
      </c>
      <c r="B5" s="213" t="s">
        <v>229</v>
      </c>
      <c r="C5" s="82"/>
      <c r="D5" s="82"/>
      <c r="E5" s="82"/>
      <c r="F5" s="82"/>
      <c r="G5" s="82"/>
    </row>
    <row r="6" spans="1:8" s="84" customFormat="1" ht="15" customHeight="1">
      <c r="A6" s="85">
        <f>MAX($A$4:A5)+1</f>
        <v>2</v>
      </c>
      <c r="B6" s="147" t="s">
        <v>157</v>
      </c>
      <c r="C6" s="89" t="str">
        <f>"Table 3, Line "&amp;TEXT('T-3'!A44,"0")&amp;" "&amp;'T-3'!H4</f>
        <v>Table 3, Line 34 (H)</v>
      </c>
      <c r="D6" s="289" t="s">
        <v>130</v>
      </c>
      <c r="E6" s="612">
        <f>-'T-3'!H44</f>
        <v>3830.3449999999998</v>
      </c>
      <c r="F6" s="88"/>
      <c r="G6" s="88"/>
    </row>
    <row r="7" spans="1:8" s="84" customFormat="1" ht="15" customHeight="1">
      <c r="A7" s="85">
        <f>MAX($A$4:A6)+1</f>
        <v>3</v>
      </c>
      <c r="B7" s="147" t="s">
        <v>480</v>
      </c>
      <c r="C7" s="89" t="s">
        <v>173</v>
      </c>
      <c r="D7" s="290" t="s">
        <v>79</v>
      </c>
      <c r="E7" s="88"/>
      <c r="F7" s="281">
        <v>60524695.931818113</v>
      </c>
      <c r="G7" s="613"/>
    </row>
    <row r="8" spans="1:8" s="84" customFormat="1" ht="15" customHeight="1">
      <c r="A8" s="85">
        <f>MAX($A$4:A7)+1</f>
        <v>4</v>
      </c>
      <c r="B8" s="147" t="s">
        <v>481</v>
      </c>
      <c r="C8" s="89" t="s">
        <v>173</v>
      </c>
      <c r="D8" s="290" t="s">
        <v>79</v>
      </c>
      <c r="E8" s="88"/>
      <c r="F8" s="281">
        <v>63445789.363636285</v>
      </c>
      <c r="G8" s="88"/>
    </row>
    <row r="9" spans="1:8" s="84" customFormat="1" ht="15" customHeight="1">
      <c r="A9" s="85">
        <f>MAX($A$4:A8)+1</f>
        <v>5</v>
      </c>
      <c r="B9" s="147" t="s">
        <v>482</v>
      </c>
      <c r="C9" s="89" t="s">
        <v>173</v>
      </c>
      <c r="D9" s="290"/>
      <c r="E9" s="88"/>
      <c r="F9" s="281">
        <v>66459215.396637537</v>
      </c>
      <c r="G9" s="88"/>
    </row>
    <row r="10" spans="1:8" s="84" customFormat="1" ht="15" customHeight="1">
      <c r="A10" s="85">
        <f>MAX($A$4:A9)+1</f>
        <v>6</v>
      </c>
      <c r="B10" s="100" t="s">
        <v>451</v>
      </c>
      <c r="C10" s="89" t="str">
        <f>"(Line "&amp;TEXT(A7,"0")&amp;" + Line "&amp;TEXT(A8,"0")&amp;" + Line "&amp;TEXT(A9,"0")&amp;") / 3"</f>
        <v>(Line 3 + Line 4 + Line 5) / 3</v>
      </c>
      <c r="D10" s="290" t="s">
        <v>79</v>
      </c>
      <c r="E10" s="88"/>
      <c r="F10" s="614">
        <f>AVERAGE(F7:F9)</f>
        <v>63476566.897363983</v>
      </c>
      <c r="G10" s="88"/>
    </row>
    <row r="11" spans="1:8" s="84" customFormat="1" ht="15" customHeight="1">
      <c r="A11" s="85">
        <f>MAX($A$4:A10)+1</f>
        <v>7</v>
      </c>
      <c r="B11" s="147" t="s">
        <v>208</v>
      </c>
      <c r="C11" s="89" t="str">
        <f>"Line "&amp;TEXT(A6,"0")&amp;" / Line "&amp;TEXT(A10,0)</f>
        <v>Line 2 / Line 6</v>
      </c>
      <c r="D11" s="291" t="s">
        <v>57</v>
      </c>
      <c r="E11" s="226"/>
      <c r="F11" s="88"/>
      <c r="G11" s="615">
        <f>ROUND(E6/F10*1000,2)</f>
        <v>0.06</v>
      </c>
      <c r="H11" s="84" t="str">
        <f ca="1">_xlfn.FORMULATEXT(G11)</f>
        <v>=ROUND(E6/F10*1000,2)</v>
      </c>
    </row>
    <row r="12" spans="1:8" ht="15" customHeight="1">
      <c r="A12" s="85">
        <f>MAX($A$4:A11)+1</f>
        <v>8</v>
      </c>
      <c r="B12" s="213" t="s">
        <v>228</v>
      </c>
      <c r="C12" s="89"/>
      <c r="D12" s="289"/>
      <c r="E12" s="281"/>
      <c r="F12" s="88"/>
      <c r="G12" s="616"/>
    </row>
    <row r="13" spans="1:8" ht="15" customHeight="1">
      <c r="A13" s="85">
        <f>MAX($A$4:A12)+1</f>
        <v>9</v>
      </c>
      <c r="B13" s="147" t="s">
        <v>157</v>
      </c>
      <c r="C13" s="89" t="str">
        <f>"Table 3, Line "&amp;TEXT('T-3'!A45,"0")&amp;" "&amp;'T-3'!H4</f>
        <v>Table 3, Line 35 (H)</v>
      </c>
      <c r="D13" s="289" t="s">
        <v>130</v>
      </c>
      <c r="E13" s="612">
        <f>-'T-3'!H45</f>
        <v>1621.2533999999998</v>
      </c>
      <c r="F13" s="88"/>
      <c r="G13" s="88"/>
    </row>
    <row r="14" spans="1:8" ht="15" customHeight="1">
      <c r="A14" s="85">
        <f>MAX($A$4:A13)+1</f>
        <v>10</v>
      </c>
      <c r="B14" s="147" t="s">
        <v>480</v>
      </c>
      <c r="C14" s="89" t="s">
        <v>261</v>
      </c>
      <c r="D14" s="290" t="s">
        <v>79</v>
      </c>
      <c r="E14" s="281"/>
      <c r="F14" s="281">
        <f>F7</f>
        <v>60524695.931818113</v>
      </c>
      <c r="G14" s="88"/>
    </row>
    <row r="15" spans="1:8" ht="15" customHeight="1">
      <c r="A15" s="85">
        <f>MAX($A$4:A14)+1</f>
        <v>11</v>
      </c>
      <c r="B15" s="147" t="s">
        <v>481</v>
      </c>
      <c r="C15" s="89" t="s">
        <v>262</v>
      </c>
      <c r="D15" s="290" t="s">
        <v>79</v>
      </c>
      <c r="E15" s="281"/>
      <c r="F15" s="281">
        <f t="shared" ref="F15:F16" si="0">F8</f>
        <v>63445789.363636285</v>
      </c>
      <c r="G15" s="88"/>
    </row>
    <row r="16" spans="1:8" ht="15" customHeight="1">
      <c r="A16" s="85">
        <f>MAX($A$4:A15)+1</f>
        <v>12</v>
      </c>
      <c r="B16" s="147" t="s">
        <v>482</v>
      </c>
      <c r="C16" s="89"/>
      <c r="D16" s="290"/>
      <c r="E16" s="281"/>
      <c r="F16" s="281">
        <f t="shared" si="0"/>
        <v>66459215.396637537</v>
      </c>
      <c r="G16" s="88"/>
    </row>
    <row r="17" spans="1:8" ht="15" customHeight="1">
      <c r="A17" s="85">
        <f>MAX($A$4:A16)+1</f>
        <v>13</v>
      </c>
      <c r="B17" s="100" t="s">
        <v>451</v>
      </c>
      <c r="C17" s="89" t="str">
        <f>"(Line "&amp;TEXT(A14,"0")&amp;" + Line "&amp;TEXT(A15,"0")&amp;" + Line "&amp;TEXT(A16,"0")&amp;") / 2"</f>
        <v>(Line 10 + Line 11 + Line 12) / 2</v>
      </c>
      <c r="D17" s="290" t="s">
        <v>79</v>
      </c>
      <c r="E17" s="281"/>
      <c r="F17" s="614">
        <f>AVERAGE(F14:F16)</f>
        <v>63476566.897363983</v>
      </c>
      <c r="G17" s="88"/>
    </row>
    <row r="18" spans="1:8" ht="15" customHeight="1">
      <c r="A18" s="85">
        <f>MAX($A$4:A17)+1</f>
        <v>14</v>
      </c>
      <c r="B18" s="147" t="s">
        <v>208</v>
      </c>
      <c r="C18" s="89" t="str">
        <f>"Line "&amp;TEXT(A13,"0")&amp;" / Line "&amp;TEXT(A17,0)</f>
        <v>Line 9 / Line 13</v>
      </c>
      <c r="D18" s="291" t="s">
        <v>57</v>
      </c>
      <c r="E18" s="281"/>
      <c r="F18" s="88"/>
      <c r="G18" s="615">
        <f>ROUND(E13/F17*1000,2)</f>
        <v>0.03</v>
      </c>
      <c r="H18" s="84" t="str">
        <f ca="1">_xlfn.FORMULATEXT(G18)</f>
        <v>=ROUND(E13/F17*1000,2)</v>
      </c>
    </row>
    <row r="21" spans="1:8">
      <c r="E21" s="284"/>
      <c r="F21" s="285"/>
    </row>
    <row r="23" spans="1:8">
      <c r="D23" s="164"/>
      <c r="G23" s="286"/>
    </row>
    <row r="24" spans="1:8">
      <c r="B24" s="283"/>
      <c r="C24" s="283"/>
      <c r="D24" s="499"/>
      <c r="E24" s="287"/>
      <c r="F24" s="286"/>
      <c r="G24" s="288"/>
    </row>
    <row r="25" spans="1:8">
      <c r="B25" s="283"/>
      <c r="C25" s="283"/>
      <c r="D25" s="499"/>
      <c r="E25" s="287"/>
      <c r="F25" s="286"/>
      <c r="G25" s="164"/>
    </row>
    <row r="26" spans="1:8">
      <c r="E26" s="287"/>
    </row>
    <row r="27" spans="1:8">
      <c r="E27" s="287"/>
    </row>
    <row r="28" spans="1:8">
      <c r="B28" s="283"/>
      <c r="C28" s="283"/>
      <c r="D28" s="283"/>
      <c r="E28" s="287"/>
    </row>
    <row r="29" spans="1:8">
      <c r="B29" s="283"/>
      <c r="C29" s="283"/>
      <c r="D29" s="500"/>
      <c r="E29" s="499"/>
    </row>
    <row r="45" spans="4:4">
      <c r="D45" s="282" t="s">
        <v>264</v>
      </c>
    </row>
  </sheetData>
  <mergeCells count="2">
    <mergeCell ref="A1:G1"/>
    <mergeCell ref="A2:G2"/>
  </mergeCells>
  <conditionalFormatting sqref="H11">
    <cfRule type="containsText" dxfId="25" priority="2" operator="containsText" text="UP">
      <formula>NOT(ISERROR(SEARCH("UP",H11)))</formula>
    </cfRule>
  </conditionalFormatting>
  <conditionalFormatting sqref="H18">
    <cfRule type="containsText" dxfId="24" priority="1" operator="containsText" text="UP">
      <formula>NOT(ISERROR(SEARCH("UP",H18)))</formula>
    </cfRule>
  </conditionalFormatting>
  <pageMargins left="0.7" right="0.7" top="0.75" bottom="0.75" header="0.3" footer="0.3"/>
  <pageSetup scale="72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33">
    <tabColor theme="3" tint="0.79998168889431442"/>
  </sheetPr>
  <dimension ref="A1:L28"/>
  <sheetViews>
    <sheetView showGridLines="0" zoomScaleNormal="100" workbookViewId="0">
      <selection sqref="A1:F1"/>
    </sheetView>
  </sheetViews>
  <sheetFormatPr defaultColWidth="9.28515625" defaultRowHeight="14.25"/>
  <cols>
    <col min="1" max="1" width="4.28515625" style="316" customWidth="1"/>
    <col min="2" max="2" width="40" style="302" bestFit="1" customWidth="1"/>
    <col min="3" max="3" width="14.28515625" style="302" customWidth="1"/>
    <col min="4" max="6" width="14.28515625" style="157" customWidth="1"/>
    <col min="7" max="7" width="38" style="302" customWidth="1"/>
    <col min="8" max="16384" width="9.28515625" style="302"/>
  </cols>
  <sheetData>
    <row r="1" spans="1:12" s="299" customFormat="1" ht="19.5" customHeight="1">
      <c r="A1" s="552" t="s">
        <v>442</v>
      </c>
      <c r="B1" s="552"/>
      <c r="C1" s="552"/>
      <c r="D1" s="552"/>
      <c r="E1" s="552"/>
      <c r="F1" s="552"/>
    </row>
    <row r="2" spans="1:12" s="299" customFormat="1" ht="19.5" customHeight="1">
      <c r="A2" s="552" t="s">
        <v>357</v>
      </c>
      <c r="B2" s="552"/>
      <c r="C2" s="552"/>
      <c r="D2" s="552"/>
      <c r="E2" s="552"/>
      <c r="F2" s="552"/>
    </row>
    <row r="3" spans="1:12" ht="14.25" customHeight="1">
      <c r="A3" s="300"/>
      <c r="B3" s="301" t="s">
        <v>0</v>
      </c>
      <c r="C3" s="301" t="s">
        <v>1</v>
      </c>
      <c r="D3" s="441" t="s">
        <v>2</v>
      </c>
      <c r="E3" s="439" t="s">
        <v>3</v>
      </c>
      <c r="F3" s="301" t="s">
        <v>4</v>
      </c>
    </row>
    <row r="4" spans="1:12" ht="30" customHeight="1">
      <c r="A4" s="300"/>
      <c r="B4" s="303" t="s">
        <v>104</v>
      </c>
      <c r="C4" s="304" t="s">
        <v>44</v>
      </c>
      <c r="D4" s="442" t="s">
        <v>483</v>
      </c>
      <c r="E4" s="440" t="s">
        <v>484</v>
      </c>
      <c r="F4" s="305" t="s">
        <v>89</v>
      </c>
    </row>
    <row r="5" spans="1:12" ht="15">
      <c r="A5" s="85">
        <f>MAX($A$4:A4)+1</f>
        <v>1</v>
      </c>
      <c r="B5" s="306" t="s">
        <v>176</v>
      </c>
      <c r="C5" s="307"/>
      <c r="D5" s="443"/>
      <c r="E5" s="445"/>
      <c r="F5" s="448"/>
    </row>
    <row r="6" spans="1:12" ht="15">
      <c r="A6" s="85">
        <f>MAX($A$4:A5)+1</f>
        <v>2</v>
      </c>
      <c r="B6" s="308" t="s">
        <v>58</v>
      </c>
      <c r="C6" s="309" t="s">
        <v>57</v>
      </c>
      <c r="D6" s="617">
        <v>0.44</v>
      </c>
      <c r="E6" s="446">
        <f>'T-8.4'!G34</f>
        <v>0.43</v>
      </c>
      <c r="F6" s="419">
        <f>IF(D6=0,0,(E6/D6)-1)</f>
        <v>-2.2727272727272707E-2</v>
      </c>
      <c r="G6" s="469" t="str">
        <f ca="1">_xlfn.FORMULATEXT('T-8.4'!G34)</f>
        <v>=ROUND((D33*1000)/(8760*E31),2)</v>
      </c>
    </row>
    <row r="7" spans="1:12" ht="15">
      <c r="A7" s="85">
        <f>MAX($A$4:A6)+1</f>
        <v>3</v>
      </c>
      <c r="B7" s="306" t="s">
        <v>258</v>
      </c>
      <c r="C7" s="307"/>
      <c r="D7" s="444"/>
      <c r="E7" s="446"/>
      <c r="F7" s="449"/>
      <c r="G7" s="469"/>
    </row>
    <row r="8" spans="1:12" ht="15">
      <c r="A8" s="85">
        <f>MAX($A$4:A7)+1</f>
        <v>4</v>
      </c>
      <c r="B8" s="310" t="s">
        <v>105</v>
      </c>
      <c r="C8" s="309" t="s">
        <v>57</v>
      </c>
      <c r="D8" s="617">
        <v>11.05</v>
      </c>
      <c r="E8" s="494">
        <f>'T-8.4'!G26</f>
        <v>13.14</v>
      </c>
      <c r="F8" s="419">
        <f>IF(D8=0,0,(E8/D8)-1)</f>
        <v>0.18914027149321266</v>
      </c>
      <c r="G8" s="469" t="str">
        <f ca="1">_xlfn.FORMULATEXT('T-8.4'!G26)</f>
        <v>=ROUND((D24*1000)/(E24*8760),2)</v>
      </c>
    </row>
    <row r="9" spans="1:12" ht="15">
      <c r="A9" s="85">
        <f>MAX($A$4:A8)+1</f>
        <v>5</v>
      </c>
      <c r="B9" s="311" t="s">
        <v>352</v>
      </c>
      <c r="C9" s="309" t="s">
        <v>57</v>
      </c>
      <c r="D9" s="617">
        <v>12.71</v>
      </c>
      <c r="E9" s="494">
        <f>'T-8.4'!G27</f>
        <v>15.11</v>
      </c>
      <c r="F9" s="419">
        <f t="shared" ref="F9:F14" si="0">IF(D9=0,0,(E9/D9)-1)</f>
        <v>0.18882769472856009</v>
      </c>
      <c r="G9" s="469" t="str">
        <f ca="1">_xlfn.FORMULATEXT('T-8.4'!G27)</f>
        <v>=ROUND(G26*(1+0.15),2)</v>
      </c>
      <c r="L9" s="302" t="s">
        <v>8</v>
      </c>
    </row>
    <row r="10" spans="1:12" ht="15">
      <c r="A10" s="85">
        <f>MAX($A$4:A9)+1</f>
        <v>6</v>
      </c>
      <c r="B10" s="310" t="s">
        <v>353</v>
      </c>
      <c r="C10" s="309" t="s">
        <v>57</v>
      </c>
      <c r="D10" s="617">
        <v>7.22</v>
      </c>
      <c r="E10" s="494">
        <f>'T-8.4'!G28</f>
        <v>6.75</v>
      </c>
      <c r="F10" s="419">
        <f t="shared" si="0"/>
        <v>-6.5096952908587191E-2</v>
      </c>
      <c r="G10" s="469" t="str">
        <f ca="1">_xlfn.FORMULATEXT('T-8.4'!G28)</f>
        <v>=ROUND((D25*1000)/(E25*8760),2)</v>
      </c>
    </row>
    <row r="11" spans="1:12" ht="15">
      <c r="A11" s="85">
        <f>MAX($A$4:A10)+1</f>
        <v>7</v>
      </c>
      <c r="B11" s="312" t="s">
        <v>354</v>
      </c>
      <c r="C11" s="309" t="s">
        <v>57</v>
      </c>
      <c r="D11" s="617">
        <v>8.3000000000000007</v>
      </c>
      <c r="E11" s="494">
        <f>'T-8.4'!G29</f>
        <v>7.76</v>
      </c>
      <c r="F11" s="419">
        <f t="shared" si="0"/>
        <v>-6.5060240963855542E-2</v>
      </c>
      <c r="G11" s="469" t="str">
        <f ca="1">_xlfn.FORMULATEXT('T-8.4'!G29)</f>
        <v>=ROUND(G28*(1+0.15),2)</v>
      </c>
    </row>
    <row r="12" spans="1:12" ht="15">
      <c r="A12" s="85">
        <f>MAX($A$4:A11)+1</f>
        <v>8</v>
      </c>
      <c r="B12" s="313" t="s">
        <v>260</v>
      </c>
      <c r="C12" s="314"/>
      <c r="D12" s="618"/>
      <c r="E12" s="447"/>
      <c r="F12" s="449"/>
      <c r="G12" s="469"/>
    </row>
    <row r="13" spans="1:12" ht="15">
      <c r="A13" s="85">
        <f>MAX($A$4:A12)+1</f>
        <v>9</v>
      </c>
      <c r="B13" s="315" t="s">
        <v>355</v>
      </c>
      <c r="C13" s="309" t="s">
        <v>57</v>
      </c>
      <c r="D13" s="618">
        <v>21.303000000000001</v>
      </c>
      <c r="E13" s="494">
        <f>'T-8.4'!G38</f>
        <v>40.71</v>
      </c>
      <c r="F13" s="419">
        <f t="shared" si="0"/>
        <v>0.91099845092240517</v>
      </c>
      <c r="G13" s="469" t="str">
        <f ca="1">_xlfn.FORMULATEXT('T-8.4'!G38)</f>
        <v>=ROUND(((D36*1000)/E36)/12,2)</v>
      </c>
    </row>
    <row r="14" spans="1:12" ht="15">
      <c r="A14" s="85">
        <f>MAX($A$4:A13)+1</f>
        <v>10</v>
      </c>
      <c r="B14" s="315" t="s">
        <v>356</v>
      </c>
      <c r="C14" s="309" t="s">
        <v>57</v>
      </c>
      <c r="D14" s="618">
        <v>1.24</v>
      </c>
      <c r="E14" s="494">
        <f>'T-8.4'!G39</f>
        <v>1.38</v>
      </c>
      <c r="F14" s="419">
        <f t="shared" si="0"/>
        <v>0.11290322580645151</v>
      </c>
      <c r="G14" s="469" t="str">
        <f ca="1">_xlfn.FORMULATEXT('T-8.4'!G39)</f>
        <v>=ROUND(((D37*1000)/E37)/12,2)</v>
      </c>
    </row>
    <row r="15" spans="1:12" ht="15">
      <c r="A15" s="85">
        <f>MAX($A$4:A14)+1</f>
        <v>11</v>
      </c>
      <c r="B15" s="313" t="s">
        <v>259</v>
      </c>
      <c r="C15" s="309"/>
      <c r="D15" s="618"/>
      <c r="E15" s="494"/>
      <c r="F15" s="449"/>
      <c r="G15" s="469"/>
    </row>
    <row r="16" spans="1:12" ht="15">
      <c r="A16" s="85">
        <f>MAX($A$4:A15)+1</f>
        <v>12</v>
      </c>
      <c r="B16" s="315" t="s">
        <v>402</v>
      </c>
      <c r="C16" s="314" t="s">
        <v>224</v>
      </c>
      <c r="D16" s="618">
        <v>0.35799999999999998</v>
      </c>
      <c r="E16" s="494">
        <f>'T-8.4'!G44</f>
        <v>0.43</v>
      </c>
      <c r="F16" s="419">
        <f>E16/D16-1</f>
        <v>0.2011173184357542</v>
      </c>
      <c r="G16" s="469" t="str">
        <f ca="1">_xlfn.FORMULATEXT('T-8.4'!G44)</f>
        <v>=ROUND(D41/E41/12,2)</v>
      </c>
    </row>
    <row r="17" spans="1:7" ht="15">
      <c r="A17" s="85">
        <f>MAX($A$4:A16)+1</f>
        <v>13</v>
      </c>
      <c r="B17" s="315" t="s">
        <v>403</v>
      </c>
      <c r="C17" s="314" t="s">
        <v>224</v>
      </c>
      <c r="D17" s="618">
        <v>0.39500000000000002</v>
      </c>
      <c r="E17" s="494">
        <f>'T-8.4'!G45</f>
        <v>0.2</v>
      </c>
      <c r="F17" s="419">
        <f t="shared" ref="F17:F19" si="1">E17/D17-1</f>
        <v>-0.49367088607594933</v>
      </c>
      <c r="G17" s="469" t="str">
        <f ca="1">_xlfn.FORMULATEXT('T-8.4'!G45)</f>
        <v>=ROUND(D42/E41/12,2)</v>
      </c>
    </row>
    <row r="18" spans="1:7" ht="15">
      <c r="A18" s="85">
        <f>MAX($A$4:A17)+1</f>
        <v>14</v>
      </c>
      <c r="B18" s="315" t="s">
        <v>404</v>
      </c>
      <c r="C18" s="314" t="s">
        <v>224</v>
      </c>
      <c r="D18" s="618">
        <v>0.28199999999999997</v>
      </c>
      <c r="E18" s="494">
        <f>'T-8.4'!G50</f>
        <v>1.04</v>
      </c>
      <c r="F18" s="419">
        <f t="shared" si="1"/>
        <v>2.687943262411348</v>
      </c>
      <c r="G18" s="469" t="str">
        <f ca="1">_xlfn.FORMULATEXT('T-8.4'!G50)</f>
        <v>=ROUND(D47/E47/12,2)</v>
      </c>
    </row>
    <row r="19" spans="1:7" ht="15">
      <c r="A19" s="85">
        <f>MAX($A$4:A18)+1</f>
        <v>15</v>
      </c>
      <c r="B19" s="315" t="s">
        <v>407</v>
      </c>
      <c r="C19" s="314" t="s">
        <v>224</v>
      </c>
      <c r="D19" s="618">
        <v>0.17399999999999999</v>
      </c>
      <c r="E19" s="494">
        <f>'T-8.4'!G51</f>
        <v>0.11</v>
      </c>
      <c r="F19" s="419">
        <f t="shared" si="1"/>
        <v>-0.36781609195402298</v>
      </c>
      <c r="G19" s="469" t="str">
        <f ca="1">_xlfn.FORMULATEXT('T-8.4'!G51)</f>
        <v>=ROUND(D48/E47/12,2)</v>
      </c>
    </row>
    <row r="22" spans="1:7">
      <c r="E22" s="302"/>
      <c r="F22" s="302"/>
    </row>
    <row r="23" spans="1:7">
      <c r="E23" s="302"/>
      <c r="F23" s="302"/>
    </row>
    <row r="24" spans="1:7">
      <c r="E24" s="302"/>
      <c r="F24" s="302"/>
    </row>
    <row r="25" spans="1:7">
      <c r="E25" s="302"/>
      <c r="F25" s="302"/>
    </row>
    <row r="26" spans="1:7">
      <c r="E26" s="302"/>
      <c r="F26" s="302"/>
    </row>
    <row r="27" spans="1:7">
      <c r="E27" s="302"/>
      <c r="F27" s="302"/>
    </row>
    <row r="28" spans="1:7">
      <c r="E28" s="302"/>
      <c r="F28" s="302"/>
    </row>
  </sheetData>
  <mergeCells count="2">
    <mergeCell ref="A1:F1"/>
    <mergeCell ref="A2:F2"/>
  </mergeCells>
  <conditionalFormatting sqref="F5:F6">
    <cfRule type="cellIs" dxfId="23" priority="7" stopIfTrue="1" operator="lessThan">
      <formula>0</formula>
    </cfRule>
  </conditionalFormatting>
  <conditionalFormatting sqref="F8:F11">
    <cfRule type="cellIs" dxfId="22" priority="6" stopIfTrue="1" operator="lessThan">
      <formula>0</formula>
    </cfRule>
  </conditionalFormatting>
  <conditionalFormatting sqref="F13:F14">
    <cfRule type="cellIs" dxfId="21" priority="5" stopIfTrue="1" operator="lessThan">
      <formula>0</formula>
    </cfRule>
  </conditionalFormatting>
  <conditionalFormatting sqref="F16:F19">
    <cfRule type="cellIs" dxfId="20" priority="4" stopIfTrue="1" operator="lessThan">
      <formula>0</formula>
    </cfRule>
  </conditionalFormatting>
  <conditionalFormatting sqref="G6:G19">
    <cfRule type="containsText" dxfId="19" priority="2" operator="containsText" text="UP">
      <formula>NOT(ISERROR(SEARCH("UP",G6)))</formula>
    </cfRule>
  </conditionalFormatting>
  <pageMargins left="0.7" right="0.7" top="0.75" bottom="0.75" header="0.3" footer="0.3"/>
  <pageSetup orientation="portrait" horizontalDpi="90" verticalDpi="9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37">
    <tabColor theme="3" tint="0.79998168889431442"/>
  </sheetPr>
  <dimension ref="A1:N51"/>
  <sheetViews>
    <sheetView showGridLines="0" zoomScaleNormal="100" workbookViewId="0">
      <pane ySplit="4" topLeftCell="A5" activePane="bottomLeft" state="frozen"/>
      <selection activeCell="B52" sqref="B52"/>
      <selection pane="bottomLeft" sqref="A1:G1"/>
    </sheetView>
  </sheetViews>
  <sheetFormatPr defaultColWidth="9.28515625" defaultRowHeight="14.25"/>
  <cols>
    <col min="1" max="1" width="4.28515625" style="321" customWidth="1"/>
    <col min="2" max="2" width="60" style="321" customWidth="1"/>
    <col min="3" max="3" width="17.140625" style="328" customWidth="1"/>
    <col min="4" max="4" width="17.140625" style="321" customWidth="1"/>
    <col min="5" max="6" width="17.140625" style="330" customWidth="1"/>
    <col min="7" max="7" width="17.140625" style="321" customWidth="1"/>
    <col min="8" max="8" width="39.7109375" style="321" customWidth="1"/>
    <col min="9" max="9" width="14.42578125" style="321" bestFit="1" customWidth="1"/>
    <col min="10" max="10" width="13.7109375" style="321" bestFit="1" customWidth="1"/>
    <col min="11" max="11" width="36.28515625" style="321" bestFit="1" customWidth="1"/>
    <col min="12" max="13" width="12.7109375" style="321" bestFit="1" customWidth="1"/>
    <col min="14" max="16384" width="9.28515625" style="321"/>
  </cols>
  <sheetData>
    <row r="1" spans="1:7" ht="19.5" customHeight="1">
      <c r="A1" s="553" t="s">
        <v>443</v>
      </c>
      <c r="B1" s="554"/>
      <c r="C1" s="554"/>
      <c r="D1" s="554"/>
      <c r="E1" s="554"/>
      <c r="F1" s="554"/>
      <c r="G1" s="554"/>
    </row>
    <row r="2" spans="1:7" ht="19.5" customHeight="1">
      <c r="A2" s="553" t="s">
        <v>358</v>
      </c>
      <c r="B2" s="553"/>
      <c r="C2" s="553"/>
      <c r="D2" s="553"/>
      <c r="E2" s="553"/>
      <c r="F2" s="553"/>
      <c r="G2" s="553"/>
    </row>
    <row r="3" spans="1:7" ht="15" customHeight="1">
      <c r="A3" s="322"/>
      <c r="B3" s="323" t="s">
        <v>0</v>
      </c>
      <c r="C3" s="323" t="s">
        <v>1</v>
      </c>
      <c r="D3" s="323" t="s">
        <v>2</v>
      </c>
      <c r="E3" s="323" t="s">
        <v>3</v>
      </c>
      <c r="F3" s="323" t="s">
        <v>4</v>
      </c>
      <c r="G3" s="323" t="s">
        <v>5</v>
      </c>
    </row>
    <row r="4" spans="1:7" ht="15" customHeight="1">
      <c r="A4" s="322"/>
      <c r="B4" s="319"/>
      <c r="C4" s="324" t="s">
        <v>225</v>
      </c>
      <c r="D4" s="324" t="s">
        <v>280</v>
      </c>
      <c r="E4" s="555" t="s">
        <v>226</v>
      </c>
      <c r="F4" s="555"/>
      <c r="G4" s="324" t="s">
        <v>104</v>
      </c>
    </row>
    <row r="5" spans="1:7" s="320" customFormat="1" ht="15" customHeight="1">
      <c r="A5" s="325">
        <f>MAX($A$4:A4)+1</f>
        <v>1</v>
      </c>
      <c r="B5" s="319" t="s">
        <v>227</v>
      </c>
      <c r="C5" s="324"/>
      <c r="D5" s="324"/>
      <c r="E5" s="326"/>
      <c r="F5" s="326"/>
      <c r="G5" s="324"/>
    </row>
    <row r="6" spans="1:7" ht="15" customHeight="1">
      <c r="A6" s="325">
        <f>MAX($A$4:A5)+1</f>
        <v>2</v>
      </c>
      <c r="B6" s="318" t="s">
        <v>361</v>
      </c>
      <c r="C6" s="327" t="s">
        <v>28</v>
      </c>
      <c r="D6" s="619">
        <v>9.51</v>
      </c>
      <c r="E6" s="620"/>
      <c r="F6" s="621"/>
      <c r="G6" s="622"/>
    </row>
    <row r="7" spans="1:7" ht="15" customHeight="1">
      <c r="A7" s="325">
        <f>MAX($A$4:A6)+1</f>
        <v>3</v>
      </c>
      <c r="B7" s="318" t="s">
        <v>362</v>
      </c>
      <c r="C7" s="327" t="s">
        <v>28</v>
      </c>
      <c r="D7" s="619">
        <v>0.21</v>
      </c>
      <c r="E7" s="620"/>
      <c r="F7" s="621"/>
      <c r="G7" s="622"/>
    </row>
    <row r="8" spans="1:7" ht="15" customHeight="1">
      <c r="A8" s="325">
        <f>MAX($A$4:A7)+1</f>
        <v>4</v>
      </c>
      <c r="B8" s="318" t="s">
        <v>363</v>
      </c>
      <c r="C8" s="327" t="s">
        <v>28</v>
      </c>
      <c r="D8" s="619">
        <v>4.8499999999999996</v>
      </c>
      <c r="E8" s="620"/>
      <c r="F8" s="621"/>
      <c r="G8" s="622"/>
    </row>
    <row r="9" spans="1:7" ht="15" customHeight="1">
      <c r="A9" s="325">
        <f>MAX($A$4:A8)+1</f>
        <v>5</v>
      </c>
      <c r="B9" s="318" t="s">
        <v>364</v>
      </c>
      <c r="C9" s="327" t="s">
        <v>28</v>
      </c>
      <c r="D9" s="619">
        <v>0</v>
      </c>
      <c r="E9" s="620"/>
      <c r="F9" s="621"/>
      <c r="G9" s="622"/>
    </row>
    <row r="10" spans="1:7" ht="15" customHeight="1">
      <c r="A10" s="325">
        <f>MAX($A$4:A9)+1</f>
        <v>6</v>
      </c>
      <c r="B10" s="318" t="s">
        <v>105</v>
      </c>
      <c r="C10" s="327" t="s">
        <v>28</v>
      </c>
      <c r="D10" s="619">
        <v>9.59</v>
      </c>
      <c r="E10" s="620"/>
      <c r="F10" s="621"/>
      <c r="G10" s="622"/>
    </row>
    <row r="11" spans="1:7" ht="15" customHeight="1">
      <c r="A11" s="325">
        <f>MAX($A$4:A10)+1</f>
        <v>7</v>
      </c>
      <c r="B11" s="318" t="s">
        <v>106</v>
      </c>
      <c r="C11" s="327" t="s">
        <v>28</v>
      </c>
      <c r="D11" s="619">
        <v>4.93</v>
      </c>
      <c r="E11" s="620"/>
      <c r="F11" s="621"/>
      <c r="G11" s="622"/>
    </row>
    <row r="12" spans="1:7" s="320" customFormat="1" ht="15" customHeight="1">
      <c r="A12" s="325">
        <f>MAX($A$4:A11)+1</f>
        <v>8</v>
      </c>
      <c r="B12" s="319" t="s">
        <v>265</v>
      </c>
      <c r="C12" s="324"/>
      <c r="D12" s="623"/>
      <c r="E12" s="624" t="s">
        <v>272</v>
      </c>
      <c r="F12" s="624" t="s">
        <v>273</v>
      </c>
      <c r="G12" s="623"/>
    </row>
    <row r="13" spans="1:7" ht="15" customHeight="1">
      <c r="A13" s="325">
        <f>MAX($A$4:A12)+1</f>
        <v>9</v>
      </c>
      <c r="B13" s="318" t="s">
        <v>266</v>
      </c>
      <c r="C13" s="327" t="s">
        <v>51</v>
      </c>
      <c r="D13" s="498"/>
      <c r="E13" s="625">
        <v>13</v>
      </c>
      <c r="F13" s="625">
        <v>-13</v>
      </c>
      <c r="G13" s="626"/>
    </row>
    <row r="14" spans="1:7" ht="15" customHeight="1">
      <c r="A14" s="325">
        <f>MAX($A$4:A13)+1</f>
        <v>10</v>
      </c>
      <c r="B14" s="318" t="s">
        <v>267</v>
      </c>
      <c r="C14" s="327" t="s">
        <v>51</v>
      </c>
      <c r="D14" s="498"/>
      <c r="E14" s="625">
        <v>0</v>
      </c>
      <c r="F14" s="625">
        <v>0</v>
      </c>
      <c r="G14" s="626"/>
    </row>
    <row r="15" spans="1:7" ht="15" customHeight="1">
      <c r="A15" s="325">
        <f>MAX($A$4:A14)+1</f>
        <v>11</v>
      </c>
      <c r="B15" s="318" t="s">
        <v>268</v>
      </c>
      <c r="C15" s="327" t="s">
        <v>51</v>
      </c>
      <c r="D15" s="498"/>
      <c r="E15" s="625">
        <v>151</v>
      </c>
      <c r="F15" s="625">
        <v>-158</v>
      </c>
      <c r="G15" s="626"/>
    </row>
    <row r="16" spans="1:7" ht="15" customHeight="1">
      <c r="A16" s="325">
        <f>MAX($A$4:A15)+1</f>
        <v>12</v>
      </c>
      <c r="B16" s="318" t="s">
        <v>269</v>
      </c>
      <c r="C16" s="327" t="s">
        <v>51</v>
      </c>
      <c r="D16" s="627"/>
      <c r="E16" s="625">
        <v>140</v>
      </c>
      <c r="F16" s="625">
        <v>-211</v>
      </c>
      <c r="G16" s="626"/>
    </row>
    <row r="17" spans="1:14" ht="15" customHeight="1">
      <c r="A17" s="325">
        <f>MAX($A$4:A16)+1</f>
        <v>13</v>
      </c>
      <c r="B17" s="318" t="s">
        <v>270</v>
      </c>
      <c r="C17" s="327" t="s">
        <v>51</v>
      </c>
      <c r="D17" s="627"/>
      <c r="E17" s="625">
        <v>163</v>
      </c>
      <c r="F17" s="625">
        <v>-170</v>
      </c>
      <c r="G17" s="626"/>
    </row>
    <row r="18" spans="1:14" ht="15" customHeight="1">
      <c r="A18" s="325">
        <f>MAX($A$4:A17)+1</f>
        <v>14</v>
      </c>
      <c r="B18" s="318" t="s">
        <v>271</v>
      </c>
      <c r="C18" s="327" t="s">
        <v>51</v>
      </c>
      <c r="D18" s="627"/>
      <c r="E18" s="625">
        <v>34</v>
      </c>
      <c r="F18" s="625">
        <v>-70</v>
      </c>
      <c r="G18" s="626"/>
    </row>
    <row r="19" spans="1:14" ht="15" customHeight="1">
      <c r="A19" s="325">
        <f>MAX($A$4:A18)+1</f>
        <v>15</v>
      </c>
      <c r="B19" s="318" t="s">
        <v>274</v>
      </c>
      <c r="C19" s="327" t="s">
        <v>51</v>
      </c>
      <c r="D19" s="627"/>
      <c r="E19" s="625">
        <v>155</v>
      </c>
      <c r="F19" s="625">
        <v>-162</v>
      </c>
      <c r="G19" s="626"/>
    </row>
    <row r="20" spans="1:14" ht="15" customHeight="1">
      <c r="A20" s="325">
        <f>MAX($A$4:A19)+1</f>
        <v>16</v>
      </c>
      <c r="B20" s="318" t="s">
        <v>275</v>
      </c>
      <c r="C20" s="327" t="s">
        <v>51</v>
      </c>
      <c r="D20" s="627"/>
      <c r="E20" s="625">
        <v>160</v>
      </c>
      <c r="F20" s="625">
        <v>-185</v>
      </c>
      <c r="G20" s="626"/>
    </row>
    <row r="21" spans="1:14" ht="15" customHeight="1">
      <c r="A21" s="325">
        <f>MAX($A$4:A20)+1</f>
        <v>17</v>
      </c>
      <c r="B21" s="318" t="s">
        <v>276</v>
      </c>
      <c r="C21" s="327" t="s">
        <v>51</v>
      </c>
      <c r="D21" s="627"/>
      <c r="E21" s="625">
        <v>22</v>
      </c>
      <c r="F21" s="625">
        <v>-23</v>
      </c>
      <c r="G21" s="626"/>
    </row>
    <row r="22" spans="1:14" ht="15" customHeight="1">
      <c r="A22" s="325">
        <f>MAX($A$4:A21)+1</f>
        <v>18</v>
      </c>
      <c r="B22" s="318" t="s">
        <v>277</v>
      </c>
      <c r="C22" s="327" t="s">
        <v>51</v>
      </c>
      <c r="D22" s="627"/>
      <c r="E22" s="625">
        <v>0</v>
      </c>
      <c r="F22" s="625">
        <v>0</v>
      </c>
      <c r="G22" s="626"/>
    </row>
    <row r="23" spans="1:14" ht="15" customHeight="1">
      <c r="A23" s="325">
        <f>MAX($A$4:A22)+1</f>
        <v>19</v>
      </c>
      <c r="B23" s="319" t="s">
        <v>289</v>
      </c>
      <c r="C23" s="327"/>
      <c r="D23" s="627"/>
      <c r="E23" s="625"/>
      <c r="F23" s="625"/>
      <c r="G23" s="627"/>
    </row>
    <row r="24" spans="1:14" ht="15" customHeight="1">
      <c r="A24" s="325">
        <f>MAX($A$4:A23)+1</f>
        <v>20</v>
      </c>
      <c r="B24" s="318" t="s">
        <v>105</v>
      </c>
      <c r="C24" s="327" t="s">
        <v>51</v>
      </c>
      <c r="D24" s="331">
        <f>E24*D10*12</f>
        <v>29214.040745647599</v>
      </c>
      <c r="E24" s="628">
        <v>253.85853967368439</v>
      </c>
      <c r="F24" s="625"/>
      <c r="G24" s="629"/>
    </row>
    <row r="25" spans="1:14" ht="15" customHeight="1">
      <c r="A25" s="325">
        <f>MAX($A$4:A24)+1</f>
        <v>21</v>
      </c>
      <c r="B25" s="318" t="s">
        <v>106</v>
      </c>
      <c r="C25" s="327" t="s">
        <v>51</v>
      </c>
      <c r="D25" s="331">
        <f>E25*D11*12</f>
        <v>15018.271665009661</v>
      </c>
      <c r="E25" s="628">
        <v>253.85854741395642</v>
      </c>
      <c r="F25" s="625"/>
      <c r="G25" s="627"/>
    </row>
    <row r="26" spans="1:14" ht="15" customHeight="1">
      <c r="A26" s="325">
        <f>MAX($A$4:A25)+1</f>
        <v>22</v>
      </c>
      <c r="B26" s="333" t="s">
        <v>278</v>
      </c>
      <c r="C26" s="324" t="s">
        <v>57</v>
      </c>
      <c r="D26" s="498"/>
      <c r="E26" s="625"/>
      <c r="F26" s="625"/>
      <c r="G26" s="615">
        <f>ROUND((D24*1000)/(E24*8760),2)</f>
        <v>13.14</v>
      </c>
      <c r="H26" s="84" t="str">
        <f ca="1">_xlfn.FORMULATEXT(G26)</f>
        <v>=ROUND((D24*1000)/(E24*8760),2)</v>
      </c>
      <c r="M26" s="501"/>
      <c r="N26" s="501"/>
    </row>
    <row r="27" spans="1:14" ht="15" customHeight="1">
      <c r="A27" s="325">
        <f>MAX($A$4:A26)+1</f>
        <v>23</v>
      </c>
      <c r="B27" s="334" t="s">
        <v>281</v>
      </c>
      <c r="C27" s="327" t="s">
        <v>57</v>
      </c>
      <c r="D27" s="498"/>
      <c r="E27" s="625"/>
      <c r="F27" s="625"/>
      <c r="G27" s="615">
        <f>ROUND(G26*(1+0.15),2)</f>
        <v>15.11</v>
      </c>
      <c r="H27" s="84" t="str">
        <f t="shared" ref="H27:H29" ca="1" si="0">_xlfn.FORMULATEXT(G27)</f>
        <v>=ROUND(G26*(1+0.15),2)</v>
      </c>
      <c r="N27" s="501"/>
    </row>
    <row r="28" spans="1:14" ht="15" customHeight="1">
      <c r="A28" s="325">
        <f>MAX($A$4:A27)+1</f>
        <v>24</v>
      </c>
      <c r="B28" s="333" t="s">
        <v>279</v>
      </c>
      <c r="C28" s="324" t="s">
        <v>57</v>
      </c>
      <c r="D28" s="498"/>
      <c r="E28" s="332"/>
      <c r="F28" s="332"/>
      <c r="G28" s="615">
        <f>ROUND((D25*1000)/(E25*8760),2)</f>
        <v>6.75</v>
      </c>
      <c r="H28" s="84" t="str">
        <f t="shared" ca="1" si="0"/>
        <v>=ROUND((D25*1000)/(E25*8760),2)</v>
      </c>
      <c r="N28" s="501"/>
    </row>
    <row r="29" spans="1:14" ht="15" customHeight="1">
      <c r="A29" s="325">
        <f>MAX($A$4:A28)+1</f>
        <v>25</v>
      </c>
      <c r="B29" s="334" t="s">
        <v>282</v>
      </c>
      <c r="C29" s="327" t="s">
        <v>57</v>
      </c>
      <c r="D29" s="498"/>
      <c r="E29" s="332"/>
      <c r="F29" s="332"/>
      <c r="G29" s="615">
        <f>ROUND(G28*(1+0.15),2)</f>
        <v>7.76</v>
      </c>
      <c r="H29" s="84" t="str">
        <f t="shared" ca="1" si="0"/>
        <v>=ROUND(G28*(1+0.15),2)</v>
      </c>
      <c r="M29" s="501"/>
      <c r="N29" s="501"/>
    </row>
    <row r="30" spans="1:14" ht="15" customHeight="1">
      <c r="A30" s="325">
        <f>MAX($A$4:A29)+1</f>
        <v>26</v>
      </c>
      <c r="B30" s="319" t="s">
        <v>288</v>
      </c>
      <c r="C30" s="327"/>
      <c r="D30" s="498"/>
      <c r="E30" s="332"/>
      <c r="F30" s="332"/>
      <c r="G30" s="627"/>
      <c r="N30" s="501"/>
    </row>
    <row r="31" spans="1:14" ht="15" customHeight="1">
      <c r="A31" s="325">
        <f>MAX($A$4:A30)+1</f>
        <v>27</v>
      </c>
      <c r="B31" s="318" t="s">
        <v>283</v>
      </c>
      <c r="C31" s="327" t="s">
        <v>51</v>
      </c>
      <c r="D31" s="331">
        <f>(D6*E19-D7*F19)*12</f>
        <v>18096.84</v>
      </c>
      <c r="E31" s="438">
        <v>7239.273901688106</v>
      </c>
      <c r="F31" s="332"/>
      <c r="G31" s="627"/>
      <c r="N31" s="501"/>
    </row>
    <row r="32" spans="1:14" ht="15" customHeight="1">
      <c r="A32" s="325">
        <f>MAX($A$4:A31)+1</f>
        <v>28</v>
      </c>
      <c r="B32" s="318" t="s">
        <v>284</v>
      </c>
      <c r="C32" s="327" t="s">
        <v>51</v>
      </c>
      <c r="D32" s="331">
        <f>(D8*E20-D9*F20)*12</f>
        <v>9312</v>
      </c>
      <c r="E32" s="438"/>
      <c r="F32" s="332"/>
      <c r="G32" s="627"/>
      <c r="N32" s="501"/>
    </row>
    <row r="33" spans="1:14" ht="15" customHeight="1">
      <c r="A33" s="325">
        <f>MAX($A$4:A32)+1</f>
        <v>29</v>
      </c>
      <c r="B33" s="318" t="s">
        <v>285</v>
      </c>
      <c r="C33" s="327"/>
      <c r="D33" s="331">
        <f>SUM(D31:D32)</f>
        <v>27408.84</v>
      </c>
      <c r="E33" s="438"/>
      <c r="F33" s="630"/>
      <c r="G33" s="627"/>
      <c r="N33" s="501"/>
    </row>
    <row r="34" spans="1:14" ht="15" customHeight="1">
      <c r="A34" s="325">
        <f>MAX($A$4:A33)+1</f>
        <v>30</v>
      </c>
      <c r="B34" s="335" t="s">
        <v>286</v>
      </c>
      <c r="C34" s="324" t="s">
        <v>57</v>
      </c>
      <c r="D34" s="498"/>
      <c r="E34" s="438"/>
      <c r="F34" s="504"/>
      <c r="G34" s="615">
        <f>ROUND((D33*1000)/(8760*E31),2)</f>
        <v>0.43</v>
      </c>
      <c r="H34" s="84" t="str">
        <f ca="1">_xlfn.FORMULATEXT(G34)</f>
        <v>=ROUND((D33*1000)/(8760*E31),2)</v>
      </c>
      <c r="N34" s="501"/>
    </row>
    <row r="35" spans="1:14" ht="15" customHeight="1">
      <c r="A35" s="325">
        <f>MAX($A$4:A34)+1</f>
        <v>31</v>
      </c>
      <c r="B35" s="319" t="s">
        <v>287</v>
      </c>
      <c r="C35" s="327"/>
      <c r="D35" s="498"/>
      <c r="E35" s="438"/>
      <c r="F35" s="332"/>
      <c r="G35" s="627"/>
      <c r="N35" s="501"/>
    </row>
    <row r="36" spans="1:14" ht="15" customHeight="1">
      <c r="A36" s="325">
        <f>MAX($A$4:A35)+1</f>
        <v>32</v>
      </c>
      <c r="B36" s="318" t="s">
        <v>365</v>
      </c>
      <c r="C36" s="327" t="s">
        <v>290</v>
      </c>
      <c r="D36" s="331">
        <f>12*(D6*E13+D8*E14)</f>
        <v>1483.56</v>
      </c>
      <c r="E36" s="438">
        <v>3037</v>
      </c>
      <c r="F36" s="332"/>
      <c r="G36" s="627"/>
      <c r="M36" s="501"/>
      <c r="N36" s="501"/>
    </row>
    <row r="37" spans="1:14" ht="15" customHeight="1">
      <c r="A37" s="325">
        <f>MAX($A$4:A36)+1</f>
        <v>33</v>
      </c>
      <c r="B37" s="318" t="s">
        <v>366</v>
      </c>
      <c r="C37" s="327" t="s">
        <v>290</v>
      </c>
      <c r="D37" s="331">
        <f>-12*(D7*F13+D9*F14)</f>
        <v>32.76</v>
      </c>
      <c r="E37" s="438">
        <v>1979</v>
      </c>
      <c r="F37" s="332"/>
      <c r="G37" s="627"/>
      <c r="N37" s="501"/>
    </row>
    <row r="38" spans="1:14" ht="15" customHeight="1">
      <c r="A38" s="325">
        <f>MAX($A$4:A37)+1</f>
        <v>34</v>
      </c>
      <c r="B38" s="333" t="s">
        <v>367</v>
      </c>
      <c r="C38" s="324"/>
      <c r="D38" s="498"/>
      <c r="E38" s="631"/>
      <c r="F38" s="332"/>
      <c r="G38" s="615">
        <f>ROUND(((D36*1000)/E36)/12,2)</f>
        <v>40.71</v>
      </c>
      <c r="H38" s="84" t="str">
        <f t="shared" ref="H38:H39" ca="1" si="1">_xlfn.FORMULATEXT(G38)</f>
        <v>=ROUND(((D36*1000)/E36)/12,2)</v>
      </c>
      <c r="N38" s="501"/>
    </row>
    <row r="39" spans="1:14" ht="15" customHeight="1">
      <c r="A39" s="325">
        <f>MAX($A$4:A38)+1</f>
        <v>35</v>
      </c>
      <c r="B39" s="333" t="s">
        <v>368</v>
      </c>
      <c r="C39" s="324"/>
      <c r="D39" s="498"/>
      <c r="E39" s="631"/>
      <c r="F39" s="332"/>
      <c r="G39" s="615">
        <f>ROUND(((D37*1000)/E37)/12,2)</f>
        <v>1.38</v>
      </c>
      <c r="H39" s="84" t="str">
        <f t="shared" ca="1" si="1"/>
        <v>=ROUND(((D37*1000)/E37)/12,2)</v>
      </c>
      <c r="N39" s="501"/>
    </row>
    <row r="40" spans="1:14" ht="15" customHeight="1">
      <c r="A40" s="325">
        <f>MAX($A$4:A39)+1</f>
        <v>36</v>
      </c>
      <c r="B40" s="319" t="s">
        <v>359</v>
      </c>
      <c r="C40" s="327"/>
      <c r="D40" s="498"/>
      <c r="E40" s="438"/>
      <c r="F40" s="332"/>
      <c r="G40" s="629"/>
      <c r="N40" s="501"/>
    </row>
    <row r="41" spans="1:14" ht="15" customHeight="1">
      <c r="A41" s="325">
        <f>MAX($A$4:A40)+1</f>
        <v>37</v>
      </c>
      <c r="B41" s="318" t="s">
        <v>291</v>
      </c>
      <c r="C41" s="327" t="s">
        <v>51</v>
      </c>
      <c r="D41" s="331">
        <f>(D6*E15-D7*F15)*12</f>
        <v>17630.28</v>
      </c>
      <c r="E41" s="438">
        <v>3392.5644506517692</v>
      </c>
      <c r="F41" s="332"/>
      <c r="G41" s="629"/>
      <c r="N41" s="501"/>
    </row>
    <row r="42" spans="1:14" ht="15" customHeight="1">
      <c r="A42" s="325">
        <f>MAX($A$4:A41)+1</f>
        <v>38</v>
      </c>
      <c r="B42" s="318" t="s">
        <v>292</v>
      </c>
      <c r="C42" s="327" t="s">
        <v>51</v>
      </c>
      <c r="D42" s="331">
        <f>(D8*E16-D9*F16)*12</f>
        <v>8148</v>
      </c>
      <c r="E42" s="438"/>
      <c r="F42" s="332"/>
      <c r="G42" s="629"/>
      <c r="M42" s="501"/>
      <c r="N42" s="501"/>
    </row>
    <row r="43" spans="1:14" ht="15" customHeight="1">
      <c r="A43" s="325">
        <f>MAX($A$4:A42)+1</f>
        <v>39</v>
      </c>
      <c r="B43" s="333" t="s">
        <v>293</v>
      </c>
      <c r="C43" s="324" t="s">
        <v>28</v>
      </c>
      <c r="D43" s="498"/>
      <c r="E43" s="438"/>
      <c r="F43" s="332"/>
      <c r="G43" s="615">
        <f>ROUND((SUM(D41:D42)/E41)/12,2)</f>
        <v>0.63</v>
      </c>
      <c r="H43" s="84" t="str">
        <f ca="1">_xlfn.FORMULATEXT(G43)</f>
        <v>=ROUND((SUM(D41:D42)/E41)/12,2)</v>
      </c>
      <c r="M43" s="501"/>
      <c r="N43" s="501"/>
    </row>
    <row r="44" spans="1:14" ht="15" customHeight="1">
      <c r="A44" s="325">
        <f>MAX($A$4:A43)+1</f>
        <v>40</v>
      </c>
      <c r="B44" s="471" t="s">
        <v>387</v>
      </c>
      <c r="C44" s="324" t="s">
        <v>28</v>
      </c>
      <c r="D44" s="498"/>
      <c r="E44" s="438"/>
      <c r="F44" s="332"/>
      <c r="G44" s="615">
        <f>ROUND(D41/E41/12,2)</f>
        <v>0.43</v>
      </c>
      <c r="H44" s="84" t="str">
        <f t="shared" ref="H44:H45" ca="1" si="2">_xlfn.FORMULATEXT(G44)</f>
        <v>=ROUND(D41/E41/12,2)</v>
      </c>
      <c r="N44" s="501"/>
    </row>
    <row r="45" spans="1:14" ht="15" customHeight="1">
      <c r="A45" s="325">
        <f>MAX($A$4:A44)+1</f>
        <v>41</v>
      </c>
      <c r="B45" s="471" t="s">
        <v>388</v>
      </c>
      <c r="C45" s="324" t="s">
        <v>28</v>
      </c>
      <c r="D45" s="498"/>
      <c r="E45" s="438"/>
      <c r="F45" s="332"/>
      <c r="G45" s="615">
        <f>ROUND(D42/E41/12,2)</f>
        <v>0.2</v>
      </c>
      <c r="H45" s="84" t="str">
        <f t="shared" ca="1" si="2"/>
        <v>=ROUND(D42/E41/12,2)</v>
      </c>
    </row>
    <row r="46" spans="1:14" ht="15" customHeight="1">
      <c r="A46" s="325">
        <f>MAX($A$4:A45)+1</f>
        <v>42</v>
      </c>
      <c r="B46" s="329" t="s">
        <v>360</v>
      </c>
      <c r="C46" s="327"/>
      <c r="D46" s="498"/>
      <c r="E46" s="438"/>
      <c r="F46" s="332"/>
      <c r="G46" s="629"/>
    </row>
    <row r="47" spans="1:14" ht="15" customHeight="1">
      <c r="A47" s="325">
        <f>MAX($A$4:A46)+1</f>
        <v>43</v>
      </c>
      <c r="B47" s="318" t="s">
        <v>294</v>
      </c>
      <c r="C47" s="327" t="s">
        <v>51</v>
      </c>
      <c r="D47" s="331">
        <f>(D6*E17-D7*F17)*12</f>
        <v>19029.96</v>
      </c>
      <c r="E47" s="438">
        <v>1519.4486879432623</v>
      </c>
      <c r="F47" s="332"/>
      <c r="G47" s="629"/>
    </row>
    <row r="48" spans="1:14" ht="15" customHeight="1">
      <c r="A48" s="325">
        <f>MAX($A$4:A47)+1</f>
        <v>44</v>
      </c>
      <c r="B48" s="318" t="s">
        <v>295</v>
      </c>
      <c r="C48" s="327" t="s">
        <v>51</v>
      </c>
      <c r="D48" s="331">
        <f>(D8*E18-D9*F18)*12</f>
        <v>1978.7999999999997</v>
      </c>
      <c r="E48" s="632"/>
      <c r="F48" s="332"/>
      <c r="G48" s="629"/>
    </row>
    <row r="49" spans="1:8" ht="15" customHeight="1">
      <c r="A49" s="325">
        <f>MAX($A$4:A48)+1</f>
        <v>45</v>
      </c>
      <c r="B49" s="333" t="s">
        <v>296</v>
      </c>
      <c r="C49" s="324" t="s">
        <v>28</v>
      </c>
      <c r="D49" s="627"/>
      <c r="E49" s="332"/>
      <c r="F49" s="332"/>
      <c r="G49" s="615">
        <f>ROUND((SUM(D47:D48)/E47)/12,2)</f>
        <v>1.1499999999999999</v>
      </c>
      <c r="H49" s="84" t="str">
        <f ca="1">_xlfn.FORMULATEXT(G49)</f>
        <v>=ROUND((SUM(D47:D48)/E47)/12,2)</v>
      </c>
    </row>
    <row r="50" spans="1:8" ht="15" customHeight="1">
      <c r="A50" s="325">
        <f>MAX($A$4:A49)+1</f>
        <v>46</v>
      </c>
      <c r="B50" s="471" t="s">
        <v>389</v>
      </c>
      <c r="C50" s="324" t="s">
        <v>28</v>
      </c>
      <c r="D50" s="627"/>
      <c r="E50" s="332"/>
      <c r="F50" s="332"/>
      <c r="G50" s="615">
        <f>ROUND(D47/E47/12,2)</f>
        <v>1.04</v>
      </c>
      <c r="H50" s="84" t="str">
        <f t="shared" ref="H50:H51" ca="1" si="3">_xlfn.FORMULATEXT(G50)</f>
        <v>=ROUND(D47/E47/12,2)</v>
      </c>
    </row>
    <row r="51" spans="1:8" ht="15" customHeight="1">
      <c r="A51" s="325">
        <f>MAX($A$4:A50)+1</f>
        <v>47</v>
      </c>
      <c r="B51" s="471" t="s">
        <v>390</v>
      </c>
      <c r="C51" s="324" t="s">
        <v>28</v>
      </c>
      <c r="D51" s="627"/>
      <c r="E51" s="332"/>
      <c r="F51" s="332"/>
      <c r="G51" s="615">
        <f>ROUND(D48/E47/12,2)</f>
        <v>0.11</v>
      </c>
      <c r="H51" s="84" t="str">
        <f t="shared" ca="1" si="3"/>
        <v>=ROUND(D48/E47/12,2)</v>
      </c>
    </row>
  </sheetData>
  <mergeCells count="3">
    <mergeCell ref="A2:G2"/>
    <mergeCell ref="A1:G1"/>
    <mergeCell ref="E4:F4"/>
  </mergeCells>
  <conditionalFormatting sqref="H26:H29">
    <cfRule type="containsText" dxfId="18" priority="6" operator="containsText" text="UP">
      <formula>NOT(ISERROR(SEARCH("UP",H26)))</formula>
    </cfRule>
  </conditionalFormatting>
  <conditionalFormatting sqref="H34">
    <cfRule type="containsText" dxfId="17" priority="5" operator="containsText" text="UP">
      <formula>NOT(ISERROR(SEARCH("UP",H34)))</formula>
    </cfRule>
  </conditionalFormatting>
  <conditionalFormatting sqref="H38:H39">
    <cfRule type="containsText" dxfId="16" priority="4" operator="containsText" text="UP">
      <formula>NOT(ISERROR(SEARCH("UP",H38)))</formula>
    </cfRule>
  </conditionalFormatting>
  <conditionalFormatting sqref="H43:H45">
    <cfRule type="containsText" dxfId="15" priority="3" operator="containsText" text="UP">
      <formula>NOT(ISERROR(SEARCH("UP",H43)))</formula>
    </cfRule>
  </conditionalFormatting>
  <conditionalFormatting sqref="H49:H51">
    <cfRule type="containsText" dxfId="14" priority="2" operator="containsText" text="UP">
      <formula>NOT(ISERROR(SEARCH("UP",H49)))</formula>
    </cfRule>
  </conditionalFormatting>
  <pageMargins left="0.7" right="0.7" top="0.75" bottom="0.75" header="0.3" footer="0.3"/>
  <pageSetup orientation="portrait" horizontalDpi="90" verticalDpi="9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73">
    <tabColor theme="3" tint="0.79998168889431442"/>
    <pageSetUpPr fitToPage="1"/>
  </sheetPr>
  <dimension ref="A1:H63"/>
  <sheetViews>
    <sheetView zoomScaleNormal="100" workbookViewId="0">
      <pane ySplit="4" topLeftCell="A5" activePane="bottomLeft" state="frozenSplit"/>
      <selection activeCell="B52" sqref="B52"/>
      <selection pane="bottomLeft" sqref="A1:G1"/>
    </sheetView>
  </sheetViews>
  <sheetFormatPr defaultColWidth="9.28515625" defaultRowHeight="14.25"/>
  <cols>
    <col min="1" max="1" width="4.28515625" style="381" customWidth="1"/>
    <col min="2" max="2" width="44.28515625" style="368" customWidth="1"/>
    <col min="3" max="3" width="15.7109375" style="382" customWidth="1"/>
    <col min="4" max="4" width="39.7109375" style="355" customWidth="1"/>
    <col min="5" max="7" width="12.85546875" style="382" customWidth="1"/>
    <col min="8" max="8" width="36.140625" style="368" customWidth="1"/>
    <col min="9" max="16384" width="9.28515625" style="368"/>
  </cols>
  <sheetData>
    <row r="1" spans="1:8" s="337" customFormat="1" ht="19.5" customHeight="1">
      <c r="A1" s="537" t="s">
        <v>158</v>
      </c>
      <c r="B1" s="537"/>
      <c r="C1" s="537"/>
      <c r="D1" s="537"/>
      <c r="E1" s="537"/>
      <c r="F1" s="537"/>
      <c r="G1" s="537"/>
    </row>
    <row r="2" spans="1:8" s="337" customFormat="1" ht="20.25" customHeight="1">
      <c r="A2" s="537" t="s">
        <v>485</v>
      </c>
      <c r="B2" s="537"/>
      <c r="C2" s="537"/>
      <c r="D2" s="537"/>
      <c r="E2" s="537"/>
      <c r="F2" s="537"/>
      <c r="G2" s="537"/>
    </row>
    <row r="3" spans="1:8" ht="15" customHeight="1">
      <c r="A3" s="367"/>
      <c r="B3" s="169" t="s">
        <v>0</v>
      </c>
      <c r="C3" s="169" t="s">
        <v>1</v>
      </c>
      <c r="D3" s="169" t="s">
        <v>2</v>
      </c>
      <c r="E3" s="437" t="s">
        <v>3</v>
      </c>
      <c r="F3" s="436" t="s">
        <v>4</v>
      </c>
      <c r="G3" s="169" t="s">
        <v>5</v>
      </c>
    </row>
    <row r="4" spans="1:8" ht="30" customHeight="1">
      <c r="A4" s="367"/>
      <c r="B4" s="369" t="s">
        <v>104</v>
      </c>
      <c r="C4" s="370" t="s">
        <v>44</v>
      </c>
      <c r="D4" s="371" t="s">
        <v>486</v>
      </c>
      <c r="E4" s="434" t="s">
        <v>483</v>
      </c>
      <c r="F4" s="435" t="s">
        <v>484</v>
      </c>
      <c r="G4" s="371" t="s">
        <v>89</v>
      </c>
    </row>
    <row r="5" spans="1:8" ht="15" customHeight="1">
      <c r="A5" s="372">
        <v>1</v>
      </c>
      <c r="B5" s="416" t="s">
        <v>487</v>
      </c>
      <c r="C5" s="353"/>
      <c r="D5" s="428"/>
      <c r="E5" s="417"/>
      <c r="F5" s="418"/>
      <c r="G5" s="419"/>
    </row>
    <row r="6" spans="1:8" ht="15" customHeight="1">
      <c r="A6" s="372">
        <f>MAX($A$5:A5)+1</f>
        <v>2</v>
      </c>
      <c r="B6" s="198" t="s">
        <v>54</v>
      </c>
      <c r="C6" s="353" t="s">
        <v>28</v>
      </c>
      <c r="D6" s="432" t="str">
        <f>"Table 6, Line "&amp;TEXT('T-6'!A$50,"0")</f>
        <v>Table 6, Line 46</v>
      </c>
      <c r="E6" s="420">
        <v>2.0310000000000001</v>
      </c>
      <c r="F6" s="374">
        <f>'T-6'!G50</f>
        <v>2.399</v>
      </c>
      <c r="G6" s="419">
        <f>IF(E6=0,0,(F6/E6)-1)</f>
        <v>0.18119153126538645</v>
      </c>
      <c r="H6" s="368" t="str">
        <f ca="1">_xlfn.FORMULATEXT('T-6'!G50)</f>
        <v>=ROUND(G49/12,3)</v>
      </c>
    </row>
    <row r="7" spans="1:8" ht="13.5" customHeight="1">
      <c r="A7" s="372">
        <f>MAX($A$5:A6)+1</f>
        <v>3</v>
      </c>
      <c r="B7" s="416" t="s">
        <v>488</v>
      </c>
      <c r="C7" s="353"/>
      <c r="D7" s="428"/>
      <c r="E7" s="417"/>
      <c r="F7" s="418"/>
      <c r="G7" s="419"/>
    </row>
    <row r="8" spans="1:8" ht="15" customHeight="1">
      <c r="A8" s="372">
        <f>MAX($A$5:A7)+1</f>
        <v>4</v>
      </c>
      <c r="B8" s="198" t="s">
        <v>54</v>
      </c>
      <c r="C8" s="353" t="s">
        <v>28</v>
      </c>
      <c r="D8" s="432" t="str">
        <f>"Table 6, Line "&amp;TEXT('T-6'!A40,"0")</f>
        <v>Table 6, Line 36</v>
      </c>
      <c r="E8" s="420">
        <v>1.6479999999999999</v>
      </c>
      <c r="F8" s="374">
        <f>'T-6'!G40</f>
        <v>2.0430000000000001</v>
      </c>
      <c r="G8" s="419">
        <f t="shared" ref="G8:G25" si="0">IF(E8=0,0,(F8/E8)-1)</f>
        <v>0.23968446601941773</v>
      </c>
      <c r="H8" s="368" t="str">
        <f ca="1">_xlfn.FORMULATEXT('T-6'!G40)</f>
        <v>=ROUND(G39/12,3)</v>
      </c>
    </row>
    <row r="9" spans="1:8" ht="15" customHeight="1">
      <c r="A9" s="372">
        <f>MAX($A$5:A8)+1</f>
        <v>5</v>
      </c>
      <c r="B9" s="198" t="s">
        <v>55</v>
      </c>
      <c r="C9" s="353" t="s">
        <v>53</v>
      </c>
      <c r="D9" s="432" t="str">
        <f>"Table 6, Line "&amp;TEXT('T-6'!A41,"0")</f>
        <v>Table 6, Line 37</v>
      </c>
      <c r="E9" s="420">
        <v>7.5999999999999998E-2</v>
      </c>
      <c r="F9" s="374">
        <f>'T-6'!G41</f>
        <v>9.4E-2</v>
      </c>
      <c r="G9" s="419">
        <f t="shared" si="0"/>
        <v>0.23684210526315796</v>
      </c>
      <c r="H9" s="368" t="str">
        <f ca="1">_xlfn.FORMULATEXT('T-6'!G41)</f>
        <v>=ROUND((G39/365)*(7/5),3)</v>
      </c>
    </row>
    <row r="10" spans="1:8" ht="15" customHeight="1">
      <c r="A10" s="372">
        <f>MAX($A$5:A9)+1</f>
        <v>6</v>
      </c>
      <c r="B10" s="198" t="s">
        <v>56</v>
      </c>
      <c r="C10" s="353" t="s">
        <v>53</v>
      </c>
      <c r="D10" s="432" t="str">
        <f>"Table 6, Line "&amp;TEXT('T-6'!A42,"0")</f>
        <v>Table 6, Line 38</v>
      </c>
      <c r="E10" s="420">
        <v>5.3999999999999999E-2</v>
      </c>
      <c r="F10" s="374">
        <f>'T-6'!G42</f>
        <v>6.7000000000000004E-2</v>
      </c>
      <c r="G10" s="419">
        <f t="shared" si="0"/>
        <v>0.24074074074074092</v>
      </c>
      <c r="H10" s="368" t="str">
        <f ca="1">_xlfn.FORMULATEXT('T-6'!G42)</f>
        <v>=ROUND(G39/365,3)</v>
      </c>
    </row>
    <row r="11" spans="1:8" ht="15" customHeight="1">
      <c r="A11" s="372">
        <f>MAX($A$5:A10)+1</f>
        <v>7</v>
      </c>
      <c r="B11" s="198" t="s">
        <v>38</v>
      </c>
      <c r="C11" s="353" t="s">
        <v>57</v>
      </c>
      <c r="D11" s="432" t="str">
        <f>"Table 6, Line "&amp;TEXT('T-6'!A43,"0")</f>
        <v>Table 6, Line 39</v>
      </c>
      <c r="E11" s="420">
        <v>4.74</v>
      </c>
      <c r="F11" s="633">
        <f>'T-6'!G43</f>
        <v>5.88</v>
      </c>
      <c r="G11" s="419">
        <f t="shared" si="0"/>
        <v>0.240506329113924</v>
      </c>
      <c r="H11" s="368" t="str">
        <f ca="1">_xlfn.FORMULATEXT('T-6'!G43)</f>
        <v>=ROUND((G39/8.76)*(7/5)*(24/16),2)</v>
      </c>
    </row>
    <row r="12" spans="1:8" ht="15" customHeight="1">
      <c r="A12" s="372">
        <f>MAX($A$5:A11)+1</f>
        <v>8</v>
      </c>
      <c r="B12" s="416" t="s">
        <v>489</v>
      </c>
      <c r="C12" s="353"/>
      <c r="D12" s="429"/>
      <c r="E12" s="417"/>
      <c r="F12" s="418"/>
      <c r="G12" s="419"/>
    </row>
    <row r="13" spans="1:8" ht="15" customHeight="1">
      <c r="A13" s="372">
        <f>MAX($A$5:A12)+1</f>
        <v>9</v>
      </c>
      <c r="B13" s="198" t="s">
        <v>54</v>
      </c>
      <c r="C13" s="353" t="s">
        <v>28</v>
      </c>
      <c r="D13" s="428" t="str">
        <f>"Table 7, Line "&amp;TEXT('T-7'!A20,"0")</f>
        <v>Table 7, Line 16</v>
      </c>
      <c r="E13" s="420">
        <v>1.1180000000000001</v>
      </c>
      <c r="F13" s="374">
        <f>'T-7'!F20</f>
        <v>1.1870000000000001</v>
      </c>
      <c r="G13" s="419">
        <f t="shared" si="0"/>
        <v>6.1717352415026738E-2</v>
      </c>
      <c r="H13" s="368" t="str">
        <f ca="1">_xlfn.FORMULATEXT('T-7'!F20)</f>
        <v>=ROUND(F19/12,3)</v>
      </c>
    </row>
    <row r="14" spans="1:8" ht="15" customHeight="1">
      <c r="A14" s="372">
        <f>MAX($A$5:A13)+1</f>
        <v>10</v>
      </c>
      <c r="B14" s="198" t="s">
        <v>55</v>
      </c>
      <c r="C14" s="353" t="s">
        <v>53</v>
      </c>
      <c r="D14" s="428" t="str">
        <f>"Table 7, Line "&amp;TEXT('T-7'!A21,"0")</f>
        <v>Table 7, Line 17</v>
      </c>
      <c r="E14" s="420">
        <v>5.0999999999999997E-2</v>
      </c>
      <c r="F14" s="374">
        <f>'T-7'!F21</f>
        <v>5.5E-2</v>
      </c>
      <c r="G14" s="419">
        <f t="shared" si="0"/>
        <v>7.8431372549019773E-2</v>
      </c>
      <c r="H14" s="368" t="str">
        <f ca="1">_xlfn.FORMULATEXT('T-7'!F21)</f>
        <v>=ROUND(F19/365*7/5,3)</v>
      </c>
    </row>
    <row r="15" spans="1:8" ht="15" customHeight="1">
      <c r="A15" s="372">
        <f>MAX($A$5:A14)+1</f>
        <v>11</v>
      </c>
      <c r="B15" s="198" t="s">
        <v>56</v>
      </c>
      <c r="C15" s="353" t="s">
        <v>53</v>
      </c>
      <c r="D15" s="428" t="str">
        <f>"Table 7, Line "&amp;TEXT('T-7'!A22,"0")</f>
        <v>Table 7, Line 18</v>
      </c>
      <c r="E15" s="420">
        <v>3.6999999999999998E-2</v>
      </c>
      <c r="F15" s="374">
        <f>'T-7'!F22</f>
        <v>3.9E-2</v>
      </c>
      <c r="G15" s="419">
        <f t="shared" si="0"/>
        <v>5.4054054054054168E-2</v>
      </c>
      <c r="H15" s="368" t="str">
        <f ca="1">_xlfn.FORMULATEXT('T-7'!F22)</f>
        <v>=ROUND(F19/365,3)</v>
      </c>
    </row>
    <row r="16" spans="1:8" ht="15" customHeight="1">
      <c r="A16" s="372">
        <f>MAX($A$5:A15)+1</f>
        <v>12</v>
      </c>
      <c r="B16" s="198" t="s">
        <v>38</v>
      </c>
      <c r="C16" s="353" t="s">
        <v>57</v>
      </c>
      <c r="D16" s="428" t="str">
        <f>"Table 7, Line "&amp;TEXT('T-7'!A23,"0")</f>
        <v>Table 7, Line 19</v>
      </c>
      <c r="E16" s="420">
        <v>10.29</v>
      </c>
      <c r="F16" s="633">
        <f>'T-7'!F23</f>
        <v>10.92</v>
      </c>
      <c r="G16" s="419">
        <f t="shared" si="0"/>
        <v>6.1224489795918435E-2</v>
      </c>
      <c r="H16" s="368" t="str">
        <f ca="1">_xlfn.FORMULATEXT('T-7'!F23)</f>
        <v>=ROUND(F19/8.76*7/5*24/5,2)</v>
      </c>
    </row>
    <row r="17" spans="1:8" ht="15" customHeight="1">
      <c r="A17" s="372">
        <f>MAX($A$5:A16)+1</f>
        <v>13</v>
      </c>
      <c r="B17" s="416" t="s">
        <v>490</v>
      </c>
      <c r="C17" s="353"/>
      <c r="D17" s="430"/>
      <c r="E17" s="417"/>
      <c r="F17" s="418"/>
      <c r="G17" s="419"/>
    </row>
    <row r="18" spans="1:8" ht="15" customHeight="1">
      <c r="A18" s="372">
        <f>MAX($A$5:A17)+1</f>
        <v>14</v>
      </c>
      <c r="B18" s="198" t="s">
        <v>54</v>
      </c>
      <c r="C18" s="353" t="s">
        <v>28</v>
      </c>
      <c r="D18" s="428" t="str">
        <f>"Table 7, Line "&amp;TEXT('T-7'!A40,"0")</f>
        <v>Table 7, Line 36</v>
      </c>
      <c r="E18" s="420">
        <v>0.52400000000000002</v>
      </c>
      <c r="F18" s="374">
        <f>'T-7'!F40</f>
        <v>0.54500000000000004</v>
      </c>
      <c r="G18" s="419">
        <f t="shared" si="0"/>
        <v>4.0076335877862634E-2</v>
      </c>
      <c r="H18" s="368" t="str">
        <f ca="1">_xlfn.FORMULATEXT('T-7'!F40)</f>
        <v>=ROUND(F39/12,3)</v>
      </c>
    </row>
    <row r="19" spans="1:8" ht="15" customHeight="1">
      <c r="A19" s="372">
        <f>MAX($A$5:A18)+1</f>
        <v>15</v>
      </c>
      <c r="B19" s="198" t="s">
        <v>55</v>
      </c>
      <c r="C19" s="353" t="s">
        <v>53</v>
      </c>
      <c r="D19" s="428" t="str">
        <f>"Table 7, Line "&amp;TEXT('T-7'!A41,"0")</f>
        <v>Table 7, Line 37</v>
      </c>
      <c r="E19" s="420">
        <v>2.4E-2</v>
      </c>
      <c r="F19" s="374">
        <f>'T-7'!F41</f>
        <v>2.5000000000000001E-2</v>
      </c>
      <c r="G19" s="419">
        <f t="shared" si="0"/>
        <v>4.1666666666666741E-2</v>
      </c>
      <c r="H19" s="368" t="str">
        <f ca="1">_xlfn.FORMULATEXT('T-7'!F41)</f>
        <v>=ROUND(F39/365*7/5,3)</v>
      </c>
    </row>
    <row r="20" spans="1:8" ht="15" customHeight="1">
      <c r="A20" s="372">
        <f>MAX($A$5:A19)+1</f>
        <v>16</v>
      </c>
      <c r="B20" s="198" t="s">
        <v>56</v>
      </c>
      <c r="C20" s="353" t="s">
        <v>53</v>
      </c>
      <c r="D20" s="428" t="str">
        <f>"Table 7, Line "&amp;TEXT('T-7'!A42,"0")</f>
        <v>Table 7, Line 38</v>
      </c>
      <c r="E20" s="420">
        <v>1.7000000000000001E-2</v>
      </c>
      <c r="F20" s="374">
        <f>'T-7'!F42</f>
        <v>1.7999999999999999E-2</v>
      </c>
      <c r="G20" s="419">
        <f t="shared" si="0"/>
        <v>5.8823529411764497E-2</v>
      </c>
      <c r="H20" s="368" t="str">
        <f ca="1">_xlfn.FORMULATEXT('T-7'!F42)</f>
        <v>=ROUND(F39/365,3)</v>
      </c>
    </row>
    <row r="21" spans="1:8" ht="15" customHeight="1">
      <c r="A21" s="372">
        <f>MAX($A$5:A20)+1</f>
        <v>17</v>
      </c>
      <c r="B21" s="198" t="s">
        <v>38</v>
      </c>
      <c r="C21" s="353" t="s">
        <v>57</v>
      </c>
      <c r="D21" s="428" t="str">
        <f>"Table 7, Line "&amp;TEXT('T-7'!A43,"0")</f>
        <v>Table 7, Line 39</v>
      </c>
      <c r="E21" s="420">
        <v>1.51</v>
      </c>
      <c r="F21" s="633">
        <f>'T-7'!F43</f>
        <v>1.57</v>
      </c>
      <c r="G21" s="419">
        <f t="shared" si="0"/>
        <v>3.9735099337748325E-2</v>
      </c>
      <c r="H21" s="368" t="str">
        <f ca="1">_xlfn.FORMULATEXT('T-7'!F43)</f>
        <v>=ROUND(F39/8.76*7/5*24/16,2)</v>
      </c>
    </row>
    <row r="22" spans="1:8" ht="15" customHeight="1">
      <c r="A22" s="372">
        <f>MAX($A$5:A21)+1</f>
        <v>18</v>
      </c>
      <c r="B22" s="416" t="s">
        <v>491</v>
      </c>
      <c r="C22" s="353"/>
      <c r="D22" s="433"/>
      <c r="E22" s="417"/>
      <c r="F22" s="418"/>
      <c r="G22" s="419"/>
    </row>
    <row r="23" spans="1:8" ht="15" customHeight="1">
      <c r="A23" s="372">
        <f>MAX($A$5:A22)+1</f>
        <v>19</v>
      </c>
      <c r="B23" s="198" t="s">
        <v>221</v>
      </c>
      <c r="C23" s="353" t="s">
        <v>28</v>
      </c>
      <c r="D23" s="428" t="str">
        <f>"Table 7, Line "&amp;TEXT('T-7'!A31,"0")</f>
        <v>Table 7, Line 27</v>
      </c>
      <c r="E23" s="420">
        <v>0.58899999999999997</v>
      </c>
      <c r="F23" s="374">
        <f>'T-7'!F31</f>
        <v>0.55000000000000004</v>
      </c>
      <c r="G23" s="419">
        <f t="shared" si="0"/>
        <v>-6.6213921901527861E-2</v>
      </c>
      <c r="H23" s="368" t="str">
        <f ca="1">_xlfn.FORMULATEXT('T-7'!F31)</f>
        <v>=ROUND(F30/12,3)</v>
      </c>
    </row>
    <row r="24" spans="1:8" ht="15" customHeight="1">
      <c r="A24" s="372">
        <f>MAX($A$5:A23)+1</f>
        <v>20</v>
      </c>
      <c r="B24" s="416" t="s">
        <v>492</v>
      </c>
      <c r="C24" s="353"/>
      <c r="D24" s="433"/>
      <c r="E24" s="417"/>
      <c r="F24" s="418"/>
      <c r="G24" s="419"/>
    </row>
    <row r="25" spans="1:8" ht="15" customHeight="1">
      <c r="A25" s="372">
        <f>MAX($A$5:A24)+1</f>
        <v>21</v>
      </c>
      <c r="B25" s="198" t="s">
        <v>119</v>
      </c>
      <c r="C25" s="353" t="s">
        <v>57</v>
      </c>
      <c r="D25" s="428" t="str">
        <f>"Table 7, Line "&amp;TEXT('T-7'!A51,"0")</f>
        <v>Table 7, Line 47</v>
      </c>
      <c r="E25" s="634">
        <v>1.38</v>
      </c>
      <c r="F25" s="633">
        <f>'T-7'!F51</f>
        <v>1.54</v>
      </c>
      <c r="G25" s="419">
        <f t="shared" si="0"/>
        <v>0.11594202898550732</v>
      </c>
      <c r="H25" s="368" t="str">
        <f ca="1">_xlfn.FORMULATEXT('T-7'!F51)</f>
        <v>=ROUND(D48/E50/8.76*7/5*24/16,2)</v>
      </c>
    </row>
    <row r="26" spans="1:8" ht="15" customHeight="1">
      <c r="A26" s="372">
        <f>MAX($A$5:A25)+1</f>
        <v>22</v>
      </c>
      <c r="B26" s="416" t="s">
        <v>493</v>
      </c>
      <c r="C26" s="353"/>
      <c r="D26" s="431"/>
      <c r="E26" s="417"/>
      <c r="F26" s="418"/>
      <c r="G26" s="419"/>
    </row>
    <row r="27" spans="1:8" ht="15" customHeight="1">
      <c r="A27" s="372">
        <f>MAX($A$5:A26)+1</f>
        <v>23</v>
      </c>
      <c r="B27" s="198" t="s">
        <v>54</v>
      </c>
      <c r="C27" s="353" t="s">
        <v>57</v>
      </c>
      <c r="D27" s="428" t="str">
        <f>"Table 8.2, Line "&amp;TEXT('T-8.2'!A11,"0")</f>
        <v>Table 8.2, Line 7</v>
      </c>
      <c r="E27" s="635">
        <v>0.04</v>
      </c>
      <c r="F27" s="636">
        <f>'T-8.2'!G11</f>
        <v>0.06</v>
      </c>
      <c r="G27" s="419">
        <f t="shared" ref="G27:G29" si="1">IF(E27=0,0,(F27/E27)-1)</f>
        <v>0.5</v>
      </c>
      <c r="H27" s="368" t="str">
        <f ca="1">_xlfn.FORMULATEXT('T-8.2'!G11)</f>
        <v>=ROUND(E6/F10*1000,2)</v>
      </c>
    </row>
    <row r="28" spans="1:8" ht="15" customHeight="1">
      <c r="A28" s="372">
        <f>MAX($A$5:A27)+1</f>
        <v>24</v>
      </c>
      <c r="B28" s="416" t="s">
        <v>494</v>
      </c>
      <c r="C28" s="353"/>
      <c r="D28" s="428"/>
      <c r="E28" s="417"/>
      <c r="F28" s="418"/>
      <c r="G28" s="423"/>
    </row>
    <row r="29" spans="1:8" ht="15" customHeight="1">
      <c r="A29" s="372">
        <f>MAX($A$5:A28)+1</f>
        <v>25</v>
      </c>
      <c r="B29" s="198" t="s">
        <v>54</v>
      </c>
      <c r="C29" s="353" t="s">
        <v>57</v>
      </c>
      <c r="D29" s="428" t="str">
        <f>"Table 8.2, Line "&amp;TEXT('T-8.2'!A18,"0")</f>
        <v>Table 8.2, Line 14</v>
      </c>
      <c r="E29" s="635">
        <v>0.04</v>
      </c>
      <c r="F29" s="636">
        <f>'T-8.2'!G18</f>
        <v>0.03</v>
      </c>
      <c r="G29" s="419">
        <f t="shared" si="1"/>
        <v>-0.25</v>
      </c>
      <c r="H29" s="368" t="str">
        <f ca="1">_xlfn.FORMULATEXT('T-8.2'!G18)</f>
        <v>=ROUND(E13/F17*1000,2)</v>
      </c>
    </row>
    <row r="30" spans="1:8" ht="15" customHeight="1">
      <c r="A30" s="372">
        <f>MAX($A$5:A29)+1</f>
        <v>26</v>
      </c>
      <c r="B30" s="416" t="s">
        <v>495</v>
      </c>
      <c r="C30" s="353"/>
      <c r="D30" s="428"/>
      <c r="E30" s="417"/>
      <c r="F30" s="417"/>
      <c r="G30" s="422"/>
    </row>
    <row r="31" spans="1:8" ht="15" customHeight="1">
      <c r="A31" s="372">
        <f>MAX($A$5:A30)+1</f>
        <v>27</v>
      </c>
      <c r="B31" s="426" t="s">
        <v>204</v>
      </c>
      <c r="C31" s="353"/>
      <c r="D31" s="428"/>
      <c r="E31" s="417"/>
      <c r="F31" s="417"/>
      <c r="G31" s="422"/>
    </row>
    <row r="32" spans="1:8" ht="15" customHeight="1">
      <c r="A32" s="372">
        <f>MAX($A$5:A31)+1</f>
        <v>28</v>
      </c>
      <c r="B32" s="427" t="s">
        <v>54</v>
      </c>
      <c r="C32" s="353" t="s">
        <v>28</v>
      </c>
      <c r="D32" s="428" t="str">
        <f>"Table 8.1, Line "&amp;TEXT('T-8.1'!A52,"0")</f>
        <v>Table 8.1, Line 48</v>
      </c>
      <c r="E32" s="637">
        <v>0.38900000000000001</v>
      </c>
      <c r="F32" s="374">
        <f>'T-8.1'!J52</f>
        <v>0.45900000000000002</v>
      </c>
      <c r="G32" s="419">
        <f>IF(E32=0,0,(F32/E32)-1)</f>
        <v>0.17994858611825193</v>
      </c>
      <c r="H32" s="368" t="str">
        <f ca="1">_xlfn.FORMULATEXT('T-8.1'!J52)</f>
        <v>=ROUND(J51/12,3)</v>
      </c>
    </row>
    <row r="33" spans="1:8" ht="15" customHeight="1">
      <c r="A33" s="372">
        <f>MAX($A$5:A32)+1</f>
        <v>29</v>
      </c>
      <c r="B33" s="426" t="s">
        <v>202</v>
      </c>
      <c r="C33" s="353"/>
      <c r="D33" s="428"/>
      <c r="E33" s="417"/>
      <c r="F33" s="417"/>
      <c r="G33" s="421"/>
    </row>
    <row r="34" spans="1:8" ht="15" customHeight="1">
      <c r="A34" s="372">
        <f>MAX($A$5:A33)+1</f>
        <v>30</v>
      </c>
      <c r="B34" s="427" t="s">
        <v>54</v>
      </c>
      <c r="C34" s="353" t="s">
        <v>28</v>
      </c>
      <c r="D34" s="428" t="str">
        <f>"Table 8.1, Line "&amp;TEXT('T-8.1'!A42,"0")</f>
        <v>Table 8.1, Line 38</v>
      </c>
      <c r="E34" s="420">
        <v>0.316</v>
      </c>
      <c r="F34" s="638">
        <f>'T-8.1'!J42</f>
        <v>0.39100000000000001</v>
      </c>
      <c r="G34" s="419">
        <f t="shared" ref="G34:G37" si="2">IF(E34=0,0,(F34/E34)-1)</f>
        <v>0.23734177215189867</v>
      </c>
      <c r="H34" s="368" t="str">
        <f ca="1">_xlfn.FORMULATEXT('T-8.1'!J42)</f>
        <v>=ROUND(J41/12,3)</v>
      </c>
    </row>
    <row r="35" spans="1:8" ht="15" customHeight="1">
      <c r="A35" s="372">
        <f>MAX($A$5:A34)+1</f>
        <v>31</v>
      </c>
      <c r="B35" s="427" t="s">
        <v>55</v>
      </c>
      <c r="C35" s="353" t="s">
        <v>53</v>
      </c>
      <c r="D35" s="428" t="str">
        <f>"Table 8.1, Line "&amp;TEXT('T-8.1'!A43,"0")</f>
        <v>Table 8.1, Line 39</v>
      </c>
      <c r="E35" s="420">
        <v>1.4999999999999999E-2</v>
      </c>
      <c r="F35" s="374">
        <f>'T-8.1'!J43</f>
        <v>1.7999999999999999E-2</v>
      </c>
      <c r="G35" s="419">
        <f t="shared" si="2"/>
        <v>0.19999999999999996</v>
      </c>
      <c r="H35" s="368" t="str">
        <f ca="1">_xlfn.FORMULATEXT('T-8.1'!J43)</f>
        <v>=ROUND(J41/365*7/5,3)</v>
      </c>
    </row>
    <row r="36" spans="1:8" ht="15" customHeight="1">
      <c r="A36" s="372">
        <f>MAX($A$5:A35)+1</f>
        <v>32</v>
      </c>
      <c r="B36" s="427" t="s">
        <v>56</v>
      </c>
      <c r="C36" s="353" t="s">
        <v>53</v>
      </c>
      <c r="D36" s="428" t="str">
        <f>"Table 8.1, Line "&amp;TEXT('T-8.1'!A44,"0")</f>
        <v>Table 8.1, Line 40</v>
      </c>
      <c r="E36" s="420">
        <v>0.01</v>
      </c>
      <c r="F36" s="374">
        <f>'T-8.1'!J44</f>
        <v>1.2999999999999999E-2</v>
      </c>
      <c r="G36" s="419">
        <f t="shared" si="2"/>
        <v>0.29999999999999982</v>
      </c>
      <c r="H36" s="368" t="str">
        <f ca="1">_xlfn.FORMULATEXT('T-8.1'!J44)</f>
        <v>=ROUND(J41/365,3)</v>
      </c>
    </row>
    <row r="37" spans="1:8" ht="15" customHeight="1">
      <c r="A37" s="372">
        <f>MAX($A$5:A36)+1</f>
        <v>33</v>
      </c>
      <c r="B37" s="427" t="s">
        <v>38</v>
      </c>
      <c r="C37" s="353" t="s">
        <v>57</v>
      </c>
      <c r="D37" s="428" t="str">
        <f>"Table 8.1, Line "&amp;TEXT('T-8.1'!A45,"0")</f>
        <v>Table 8.1, Line 41</v>
      </c>
      <c r="E37" s="420">
        <v>0.91</v>
      </c>
      <c r="F37" s="633">
        <f>'T-8.1'!J45</f>
        <v>1.1299999999999999</v>
      </c>
      <c r="G37" s="419">
        <f t="shared" si="2"/>
        <v>0.24175824175824157</v>
      </c>
      <c r="H37" s="368" t="str">
        <f ca="1">_xlfn.FORMULATEXT('T-8.1'!J45)</f>
        <v>=ROUND(J41/8.76*7/5*24/16,2)</v>
      </c>
    </row>
    <row r="38" spans="1:8" ht="15" customHeight="1">
      <c r="A38" s="372">
        <f>MAX($A$5:A37)+1</f>
        <v>34</v>
      </c>
      <c r="B38" s="416" t="s">
        <v>496</v>
      </c>
      <c r="C38" s="353"/>
      <c r="D38" s="353"/>
      <c r="E38" s="424"/>
      <c r="F38" s="425"/>
      <c r="G38" s="422"/>
    </row>
    <row r="39" spans="1:8" ht="15" customHeight="1">
      <c r="A39" s="372">
        <f>MAX($A$5:A38)+1</f>
        <v>35</v>
      </c>
      <c r="B39" s="198" t="s">
        <v>54</v>
      </c>
      <c r="C39" s="353" t="s">
        <v>28</v>
      </c>
      <c r="D39" s="353" t="str">
        <f>"Table 8.1, Line "&amp;TEXT('T-8.1'!A62,"0")</f>
        <v>Table 8.1, Line 58</v>
      </c>
      <c r="E39" s="420">
        <v>0</v>
      </c>
      <c r="F39" s="374">
        <f>'T-8.1'!J62</f>
        <v>0</v>
      </c>
      <c r="G39" s="419">
        <f t="shared" ref="G39:G42" si="3">IF(E39=0,0,(F39/E39)-1)</f>
        <v>0</v>
      </c>
    </row>
    <row r="40" spans="1:8" ht="15" customHeight="1">
      <c r="A40" s="372">
        <f>MAX($A$5:A39)+1</f>
        <v>36</v>
      </c>
      <c r="B40" s="198" t="s">
        <v>55</v>
      </c>
      <c r="C40" s="353" t="s">
        <v>53</v>
      </c>
      <c r="D40" s="353" t="str">
        <f>"Table 8.1, Line "&amp;TEXT('T-8.1'!A62,"0")</f>
        <v>Table 8.1, Line 58</v>
      </c>
      <c r="E40" s="420">
        <v>0</v>
      </c>
      <c r="F40" s="374">
        <f>'T-8.1'!J62</f>
        <v>0</v>
      </c>
      <c r="G40" s="419">
        <f t="shared" si="3"/>
        <v>0</v>
      </c>
    </row>
    <row r="41" spans="1:8" ht="15" customHeight="1">
      <c r="A41" s="372">
        <f>MAX($A$5:A40)+1</f>
        <v>37</v>
      </c>
      <c r="B41" s="198" t="s">
        <v>56</v>
      </c>
      <c r="C41" s="353" t="s">
        <v>53</v>
      </c>
      <c r="D41" s="353" t="str">
        <f>"Table 8.1, Line "&amp;TEXT('T-8.1'!A62,"0")</f>
        <v>Table 8.1, Line 58</v>
      </c>
      <c r="E41" s="420">
        <v>0</v>
      </c>
      <c r="F41" s="374">
        <f>'T-8.1'!J62</f>
        <v>0</v>
      </c>
      <c r="G41" s="419">
        <f t="shared" si="3"/>
        <v>0</v>
      </c>
    </row>
    <row r="42" spans="1:8" ht="15" customHeight="1">
      <c r="A42" s="372">
        <f>MAX($A$5:A41)+1</f>
        <v>38</v>
      </c>
      <c r="B42" s="198" t="s">
        <v>38</v>
      </c>
      <c r="C42" s="353" t="s">
        <v>57</v>
      </c>
      <c r="D42" s="353" t="str">
        <f>"Table 8.1, Line "&amp;TEXT('T-8.1'!A62,"0")</f>
        <v>Table 8.1, Line 58</v>
      </c>
      <c r="E42" s="420">
        <v>0</v>
      </c>
      <c r="F42" s="374">
        <f>'T-8.1'!J62</f>
        <v>0</v>
      </c>
      <c r="G42" s="419">
        <f t="shared" si="3"/>
        <v>0</v>
      </c>
    </row>
    <row r="43" spans="1:8">
      <c r="A43" s="375"/>
      <c r="B43" s="373"/>
      <c r="C43" s="376"/>
      <c r="D43" s="377"/>
      <c r="E43" s="376"/>
      <c r="F43" s="376"/>
      <c r="G43" s="376"/>
    </row>
    <row r="44" spans="1:8">
      <c r="A44" s="375"/>
      <c r="B44" s="373"/>
      <c r="C44" s="376"/>
      <c r="D44" s="377"/>
      <c r="E44" s="376"/>
      <c r="F44" s="376"/>
      <c r="G44" s="376"/>
    </row>
    <row r="45" spans="1:8">
      <c r="A45" s="375"/>
      <c r="B45" s="373"/>
      <c r="C45" s="376"/>
      <c r="D45" s="377"/>
      <c r="E45" s="376"/>
      <c r="F45" s="376"/>
      <c r="G45" s="376"/>
    </row>
    <row r="46" spans="1:8">
      <c r="A46" s="375"/>
      <c r="B46" s="373"/>
      <c r="C46" s="376"/>
      <c r="D46" s="377"/>
      <c r="E46" s="376"/>
      <c r="F46" s="376"/>
      <c r="G46" s="376"/>
    </row>
    <row r="47" spans="1:8">
      <c r="A47" s="375"/>
      <c r="B47" s="373"/>
      <c r="C47" s="376"/>
      <c r="D47" s="377"/>
      <c r="E47" s="376"/>
      <c r="F47" s="376"/>
      <c r="G47" s="376"/>
    </row>
    <row r="48" spans="1:8">
      <c r="A48" s="375"/>
      <c r="B48" s="373"/>
      <c r="C48" s="376"/>
      <c r="D48" s="377"/>
      <c r="E48" s="376"/>
      <c r="F48" s="376"/>
      <c r="G48" s="376"/>
    </row>
    <row r="49" spans="1:7">
      <c r="A49" s="375"/>
      <c r="B49" s="373"/>
      <c r="C49" s="376"/>
      <c r="D49" s="377"/>
      <c r="E49" s="376"/>
      <c r="F49" s="376"/>
      <c r="G49" s="376"/>
    </row>
    <row r="50" spans="1:7">
      <c r="A50" s="378"/>
      <c r="B50" s="373"/>
      <c r="C50" s="376"/>
      <c r="D50" s="377"/>
      <c r="E50" s="376"/>
      <c r="F50" s="376"/>
      <c r="G50" s="376"/>
    </row>
    <row r="51" spans="1:7" ht="15">
      <c r="A51" s="375"/>
      <c r="B51" s="379"/>
      <c r="C51" s="376"/>
      <c r="D51" s="377"/>
      <c r="E51" s="376"/>
      <c r="F51" s="376"/>
      <c r="G51" s="376"/>
    </row>
    <row r="52" spans="1:7">
      <c r="A52" s="375"/>
      <c r="B52" s="373"/>
      <c r="C52" s="376"/>
      <c r="D52" s="377"/>
      <c r="E52" s="376"/>
      <c r="F52" s="376"/>
      <c r="G52" s="376"/>
    </row>
    <row r="53" spans="1:7">
      <c r="A53" s="375"/>
      <c r="B53" s="373"/>
      <c r="C53" s="376"/>
      <c r="D53" s="377"/>
      <c r="E53" s="380"/>
      <c r="F53" s="376"/>
      <c r="G53" s="376"/>
    </row>
    <row r="54" spans="1:7">
      <c r="A54" s="375"/>
      <c r="B54" s="373"/>
      <c r="C54" s="376"/>
      <c r="D54" s="377"/>
      <c r="E54" s="380"/>
      <c r="F54" s="376"/>
      <c r="G54" s="376"/>
    </row>
    <row r="55" spans="1:7">
      <c r="A55" s="375"/>
      <c r="B55" s="373"/>
      <c r="C55" s="376"/>
      <c r="D55" s="377"/>
      <c r="E55" s="376"/>
      <c r="F55" s="376"/>
      <c r="G55" s="376"/>
    </row>
    <row r="56" spans="1:7">
      <c r="A56" s="375"/>
      <c r="B56" s="373"/>
      <c r="C56" s="376"/>
      <c r="D56" s="377"/>
      <c r="E56" s="376"/>
      <c r="F56" s="376"/>
      <c r="G56" s="376"/>
    </row>
    <row r="57" spans="1:7" ht="15">
      <c r="A57" s="375"/>
      <c r="B57" s="379"/>
      <c r="C57" s="376"/>
      <c r="D57" s="377"/>
      <c r="E57" s="376"/>
      <c r="F57" s="376"/>
      <c r="G57" s="376"/>
    </row>
    <row r="58" spans="1:7">
      <c r="A58" s="375"/>
      <c r="B58" s="373"/>
      <c r="C58" s="376"/>
      <c r="D58" s="377"/>
      <c r="E58" s="376"/>
      <c r="F58" s="376"/>
      <c r="G58" s="376"/>
    </row>
    <row r="59" spans="1:7">
      <c r="A59" s="375"/>
      <c r="B59" s="373"/>
      <c r="C59" s="376"/>
      <c r="D59" s="377"/>
      <c r="E59" s="380"/>
      <c r="F59" s="376"/>
      <c r="G59" s="376"/>
    </row>
    <row r="60" spans="1:7">
      <c r="A60" s="375"/>
      <c r="B60" s="373"/>
      <c r="C60" s="376"/>
      <c r="D60" s="377"/>
      <c r="E60" s="380"/>
      <c r="F60" s="376"/>
      <c r="G60" s="376"/>
    </row>
    <row r="61" spans="1:7">
      <c r="A61" s="378"/>
      <c r="B61" s="373"/>
      <c r="C61" s="376"/>
      <c r="D61" s="377"/>
      <c r="E61" s="376"/>
      <c r="F61" s="376"/>
      <c r="G61" s="376"/>
    </row>
    <row r="62" spans="1:7">
      <c r="A62" s="378"/>
      <c r="B62" s="373"/>
      <c r="C62" s="376"/>
      <c r="D62" s="377"/>
      <c r="E62" s="376"/>
      <c r="F62" s="376"/>
      <c r="G62" s="376"/>
    </row>
    <row r="63" spans="1:7">
      <c r="A63" s="378"/>
      <c r="B63" s="373"/>
      <c r="C63" s="376"/>
      <c r="D63" s="377"/>
      <c r="E63" s="376"/>
      <c r="F63" s="376"/>
      <c r="G63" s="376"/>
    </row>
  </sheetData>
  <mergeCells count="2">
    <mergeCell ref="A1:G1"/>
    <mergeCell ref="A2:G2"/>
  </mergeCells>
  <phoneticPr fontId="49" type="noConversion"/>
  <conditionalFormatting sqref="G5:G42">
    <cfRule type="cellIs" dxfId="13" priority="13" stopIfTrue="1" operator="lessThan">
      <formula>0</formula>
    </cfRule>
  </conditionalFormatting>
  <conditionalFormatting sqref="H6">
    <cfRule type="containsText" dxfId="12" priority="12" operator="containsText" text="roundup">
      <formula>NOT(ISERROR(SEARCH("roundup",H6)))</formula>
    </cfRule>
  </conditionalFormatting>
  <conditionalFormatting sqref="H8:H11">
    <cfRule type="containsText" dxfId="11" priority="10" operator="containsText" text="roundup">
      <formula>NOT(ISERROR(SEARCH("roundup",H8)))</formula>
    </cfRule>
  </conditionalFormatting>
  <conditionalFormatting sqref="H13:H16">
    <cfRule type="containsText" dxfId="10" priority="9" operator="containsText" text="roundup">
      <formula>NOT(ISERROR(SEARCH("roundup",H13)))</formula>
    </cfRule>
  </conditionalFormatting>
  <conditionalFormatting sqref="H18:H21">
    <cfRule type="containsText" dxfId="9" priority="8" operator="containsText" text="roundup">
      <formula>NOT(ISERROR(SEARCH("roundup",H18)))</formula>
    </cfRule>
  </conditionalFormatting>
  <conditionalFormatting sqref="H23">
    <cfRule type="containsText" dxfId="8" priority="7" operator="containsText" text="roundup">
      <formula>NOT(ISERROR(SEARCH("roundup",H23)))</formula>
    </cfRule>
  </conditionalFormatting>
  <conditionalFormatting sqref="H25">
    <cfRule type="containsText" dxfId="7" priority="6" operator="containsText" text="roundup">
      <formula>NOT(ISERROR(SEARCH("roundup",H25)))</formula>
    </cfRule>
  </conditionalFormatting>
  <conditionalFormatting sqref="H27">
    <cfRule type="containsText" dxfId="6" priority="4" operator="containsText" text="roundup">
      <formula>NOT(ISERROR(SEARCH("roundup",H27)))</formula>
    </cfRule>
  </conditionalFormatting>
  <conditionalFormatting sqref="H29">
    <cfRule type="containsText" dxfId="5" priority="3" operator="containsText" text="roundup">
      <formula>NOT(ISERROR(SEARCH("roundup",H29)))</formula>
    </cfRule>
  </conditionalFormatting>
  <conditionalFormatting sqref="H32">
    <cfRule type="containsText" dxfId="4" priority="2" operator="containsText" text="roundup">
      <formula>NOT(ISERROR(SEARCH("roundup",H32)))</formula>
    </cfRule>
  </conditionalFormatting>
  <conditionalFormatting sqref="H34:H37">
    <cfRule type="containsText" dxfId="3" priority="1" operator="containsText" text="roundup">
      <formula>NOT(ISERROR(SEARCH("roundup",H34)))</formula>
    </cfRule>
  </conditionalFormatting>
  <printOptions horizontalCentered="1"/>
  <pageMargins left="0.5" right="0.5" top="0.5" bottom="0.5" header="0.25" footer="0.5"/>
  <pageSetup scale="63" fitToHeight="0" orientation="landscape" blackAndWhite="1" horizontalDpi="96" verticalDpi="96" r:id="rId1"/>
  <headerFooter alignWithMargins="0"/>
  <rowBreaks count="1" manualBreakCount="1">
    <brk id="6" max="6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39">
    <tabColor theme="3" tint="0.79998168889431442"/>
    <pageSetUpPr fitToPage="1"/>
  </sheetPr>
  <dimension ref="A1:N151"/>
  <sheetViews>
    <sheetView zoomScaleNormal="100" workbookViewId="0">
      <pane ySplit="6" topLeftCell="A40" activePane="bottomLeft" state="frozenSplit"/>
      <selection activeCell="B52" sqref="B52"/>
      <selection pane="bottomLeft" sqref="A1:K1"/>
    </sheetView>
  </sheetViews>
  <sheetFormatPr defaultColWidth="9.28515625" defaultRowHeight="15" customHeight="1" outlineLevelRow="1"/>
  <cols>
    <col min="1" max="1" width="4.28515625" style="460" customWidth="1"/>
    <col min="2" max="2" width="60" style="282" customWidth="1"/>
    <col min="3" max="11" width="17.140625" style="282" customWidth="1"/>
    <col min="12" max="12" width="20.42578125" style="284" customWidth="1"/>
    <col min="13" max="13" width="12.42578125" style="391" bestFit="1" customWidth="1"/>
    <col min="14" max="14" width="9.42578125" style="282" customWidth="1"/>
    <col min="15" max="16" width="9.28515625" style="282"/>
    <col min="17" max="17" width="9.5703125" style="282" bestFit="1" customWidth="1"/>
    <col min="18" max="16384" width="9.28515625" style="282"/>
  </cols>
  <sheetData>
    <row r="1" spans="1:14" s="107" customFormat="1" ht="19.5" customHeight="1">
      <c r="A1" s="556" t="s">
        <v>444</v>
      </c>
      <c r="B1" s="556"/>
      <c r="C1" s="556"/>
      <c r="D1" s="556"/>
      <c r="E1" s="556"/>
      <c r="F1" s="556"/>
      <c r="G1" s="556"/>
      <c r="H1" s="556"/>
      <c r="I1" s="556"/>
      <c r="J1" s="556"/>
      <c r="K1" s="556"/>
      <c r="L1" s="458"/>
      <c r="M1" s="459"/>
    </row>
    <row r="2" spans="1:14" s="107" customFormat="1" ht="19.5" customHeight="1">
      <c r="A2" s="556" t="s">
        <v>501</v>
      </c>
      <c r="B2" s="556"/>
      <c r="C2" s="556"/>
      <c r="D2" s="556"/>
      <c r="E2" s="556"/>
      <c r="F2" s="556"/>
      <c r="G2" s="556"/>
      <c r="H2" s="556"/>
      <c r="I2" s="556"/>
      <c r="J2" s="556"/>
      <c r="K2" s="556"/>
      <c r="L2" s="467" t="s">
        <v>214</v>
      </c>
      <c r="M2" s="468">
        <v>1</v>
      </c>
    </row>
    <row r="3" spans="1:14" ht="15" customHeight="1">
      <c r="A3" s="384"/>
      <c r="B3" s="451" t="s">
        <v>0</v>
      </c>
      <c r="C3" s="451" t="s">
        <v>1</v>
      </c>
      <c r="D3" s="451"/>
      <c r="E3" s="451" t="s">
        <v>2</v>
      </c>
      <c r="F3" s="451" t="s">
        <v>3</v>
      </c>
      <c r="G3" s="451" t="s">
        <v>4</v>
      </c>
      <c r="H3" s="451" t="s">
        <v>5</v>
      </c>
      <c r="I3" s="451" t="s">
        <v>6</v>
      </c>
      <c r="J3" s="451" t="s">
        <v>7</v>
      </c>
      <c r="K3" s="451" t="s">
        <v>32</v>
      </c>
      <c r="L3" s="385"/>
      <c r="M3" s="284" t="s">
        <v>215</v>
      </c>
      <c r="N3" s="391"/>
    </row>
    <row r="4" spans="1:14" ht="15" customHeight="1">
      <c r="A4" s="384"/>
      <c r="B4" s="451"/>
      <c r="C4" s="557" t="s">
        <v>206</v>
      </c>
      <c r="D4" s="557"/>
      <c r="E4" s="558"/>
      <c r="F4" s="451" t="s">
        <v>206</v>
      </c>
      <c r="G4" s="557" t="s">
        <v>207</v>
      </c>
      <c r="H4" s="557"/>
      <c r="I4" s="557"/>
      <c r="J4" s="451" t="s">
        <v>207</v>
      </c>
      <c r="K4" s="451"/>
      <c r="L4" s="385"/>
      <c r="M4" s="284" t="s">
        <v>216</v>
      </c>
      <c r="N4" s="391"/>
    </row>
    <row r="5" spans="1:14" ht="15" customHeight="1">
      <c r="A5" s="384"/>
      <c r="B5" s="386"/>
      <c r="C5" s="559" t="s">
        <v>497</v>
      </c>
      <c r="D5" s="559"/>
      <c r="E5" s="559"/>
      <c r="F5" s="560" t="s">
        <v>498</v>
      </c>
      <c r="G5" s="557" t="s">
        <v>499</v>
      </c>
      <c r="H5" s="557"/>
      <c r="I5" s="557"/>
      <c r="J5" s="560" t="s">
        <v>500</v>
      </c>
      <c r="K5" s="451" t="s">
        <v>93</v>
      </c>
      <c r="L5" s="282"/>
      <c r="M5" s="461"/>
      <c r="N5" s="399"/>
    </row>
    <row r="6" spans="1:14" ht="15" customHeight="1">
      <c r="A6" s="387"/>
      <c r="B6" s="388" t="s">
        <v>107</v>
      </c>
      <c r="C6" s="450" t="s">
        <v>425</v>
      </c>
      <c r="D6" s="450" t="s">
        <v>426</v>
      </c>
      <c r="E6" s="450" t="s">
        <v>427</v>
      </c>
      <c r="F6" s="561"/>
      <c r="G6" s="508" t="s">
        <v>448</v>
      </c>
      <c r="H6" s="508" t="s">
        <v>449</v>
      </c>
      <c r="I6" s="508" t="s">
        <v>450</v>
      </c>
      <c r="J6" s="561"/>
      <c r="K6" s="450" t="s">
        <v>111</v>
      </c>
      <c r="L6" s="282"/>
      <c r="M6" s="284"/>
      <c r="N6" s="399"/>
    </row>
    <row r="7" spans="1:14" ht="15" customHeight="1">
      <c r="A7" s="389">
        <v>1</v>
      </c>
      <c r="B7" s="387" t="s">
        <v>13</v>
      </c>
      <c r="C7" s="451"/>
      <c r="D7" s="451"/>
      <c r="E7" s="451"/>
      <c r="F7" s="451"/>
      <c r="G7" s="452"/>
      <c r="H7" s="452"/>
      <c r="I7" s="452"/>
      <c r="J7" s="451"/>
      <c r="K7" s="390"/>
      <c r="L7" s="282"/>
      <c r="M7" s="284"/>
      <c r="N7" s="391"/>
    </row>
    <row r="8" spans="1:14" ht="22.5" customHeight="1">
      <c r="A8" s="389">
        <f>MAX($A$7:A7)+1</f>
        <v>2</v>
      </c>
      <c r="B8" s="392" t="s">
        <v>369</v>
      </c>
      <c r="C8" s="393">
        <f>C9*$F$10*12</f>
        <v>217375.22770000002</v>
      </c>
      <c r="D8" s="393">
        <f>D9*$F$10*12</f>
        <v>250791.88227</v>
      </c>
      <c r="E8" s="393">
        <f>E9*$F$10*12</f>
        <v>263415.26351000002</v>
      </c>
      <c r="F8" s="393">
        <f>AVERAGE(C8:E8)</f>
        <v>243860.79116000002</v>
      </c>
      <c r="G8" s="393">
        <f>G9*$J$10*12</f>
        <v>256761.77806612512</v>
      </c>
      <c r="H8" s="393">
        <f>H9*$J$10*12</f>
        <v>296233.24744742981</v>
      </c>
      <c r="I8" s="393">
        <f>I9*$J$10*12</f>
        <v>311143.87846405222</v>
      </c>
      <c r="J8" s="393">
        <f>J9*$J$10*12</f>
        <v>288046.30132586899</v>
      </c>
      <c r="K8" s="394">
        <f>IF(F8=0,0,(J8/F8)-1)</f>
        <v>0.18119153126538623</v>
      </c>
      <c r="L8" s="282"/>
      <c r="M8" s="284"/>
      <c r="N8" s="391"/>
    </row>
    <row r="9" spans="1:14" s="477" customFormat="1" ht="12" hidden="1" outlineLevel="1">
      <c r="A9" s="476"/>
      <c r="B9" s="472" t="s">
        <v>391</v>
      </c>
      <c r="C9" s="510">
        <f>G9</f>
        <v>8919.0557894304948</v>
      </c>
      <c r="D9" s="510">
        <f t="shared" ref="D9:E9" si="0">H9</f>
        <v>10290.164215903495</v>
      </c>
      <c r="E9" s="510">
        <f t="shared" si="0"/>
        <v>10808.110270392253</v>
      </c>
      <c r="F9" s="510">
        <f>AVERAGE(G9:I9)</f>
        <v>10005.776758575414</v>
      </c>
      <c r="G9" s="473">
        <f>'T-4'!P15</f>
        <v>8919.0557894304948</v>
      </c>
      <c r="H9" s="473">
        <f>'T-4'!P31</f>
        <v>10290.164215903495</v>
      </c>
      <c r="I9" s="473">
        <f>'T-4'!P47</f>
        <v>10808.110270392253</v>
      </c>
      <c r="J9" s="510">
        <f>AVERAGE(G9:I9)</f>
        <v>10005.776758575414</v>
      </c>
      <c r="K9" s="509"/>
      <c r="M9" s="478"/>
      <c r="N9" s="479"/>
    </row>
    <row r="10" spans="1:14" s="477" customFormat="1" ht="12" hidden="1" outlineLevel="1">
      <c r="A10" s="476"/>
      <c r="B10" s="472" t="s">
        <v>392</v>
      </c>
      <c r="C10" s="511"/>
      <c r="D10" s="511"/>
      <c r="E10" s="513"/>
      <c r="F10" s="474">
        <f>'T-9'!E6</f>
        <v>2.0310000000000001</v>
      </c>
      <c r="G10" s="511"/>
      <c r="H10" s="511"/>
      <c r="I10" s="511"/>
      <c r="J10" s="474">
        <f>'T-9'!F6</f>
        <v>2.399</v>
      </c>
      <c r="K10" s="475"/>
      <c r="M10" s="478"/>
      <c r="N10" s="479"/>
    </row>
    <row r="11" spans="1:14" ht="15" customHeight="1" collapsed="1">
      <c r="A11" s="389">
        <f>MAX($A$7:A8)+1</f>
        <v>3</v>
      </c>
      <c r="B11" s="392" t="s">
        <v>430</v>
      </c>
      <c r="C11" s="393">
        <f>C12*$F$13*12</f>
        <v>42082.469793938944</v>
      </c>
      <c r="D11" s="393">
        <f>D12*$F$13*12</f>
        <v>48482.803928714915</v>
      </c>
      <c r="E11" s="393">
        <f>E12*$F$13*12</f>
        <v>50900.576111068447</v>
      </c>
      <c r="F11" s="393">
        <f>AVERAGE(C11:E11)</f>
        <v>47155.283277907438</v>
      </c>
      <c r="G11" s="393">
        <f>G12*$J$13*12</f>
        <v>49655.150733722301</v>
      </c>
      <c r="H11" s="393">
        <f t="shared" ref="H11" si="1">H12*$J$13*12</f>
        <v>57207.215946735596</v>
      </c>
      <c r="I11" s="393">
        <f>I12*$J$13*12</f>
        <v>60060.062814859688</v>
      </c>
      <c r="J11" s="393">
        <f>J12*$J$13*12</f>
        <v>55640.809831772523</v>
      </c>
      <c r="K11" s="394">
        <f>IF(F11=0,0,(J11/F11)-1)</f>
        <v>0.17994858611825171</v>
      </c>
      <c r="L11" s="282"/>
      <c r="M11" s="284"/>
      <c r="N11" s="234"/>
    </row>
    <row r="12" spans="1:14" s="477" customFormat="1" ht="12" hidden="1" outlineLevel="1">
      <c r="A12" s="476"/>
      <c r="B12" s="472" t="s">
        <v>391</v>
      </c>
      <c r="C12" s="510">
        <f>G12</f>
        <v>9015.0963568849493</v>
      </c>
      <c r="D12" s="510">
        <f t="shared" ref="D12:E12" si="2">H12</f>
        <v>10386.204783357951</v>
      </c>
      <c r="E12" s="510">
        <f t="shared" si="2"/>
        <v>10904.15083784671</v>
      </c>
      <c r="F12" s="510">
        <f>AVERAGE(G12:I12)</f>
        <v>10101.81732602987</v>
      </c>
      <c r="G12" s="473">
        <f>'T-4'!P14</f>
        <v>9015.0963568849493</v>
      </c>
      <c r="H12" s="473">
        <f>'T-4'!P30</f>
        <v>10386.204783357951</v>
      </c>
      <c r="I12" s="473">
        <f>'T-4'!P46</f>
        <v>10904.15083784671</v>
      </c>
      <c r="J12" s="510">
        <f>AVERAGE(G12:I12)</f>
        <v>10101.81732602987</v>
      </c>
      <c r="K12" s="475"/>
      <c r="M12" s="478"/>
      <c r="N12" s="480"/>
    </row>
    <row r="13" spans="1:14" s="477" customFormat="1" ht="12" hidden="1" outlineLevel="1">
      <c r="A13" s="476"/>
      <c r="B13" s="472" t="s">
        <v>392</v>
      </c>
      <c r="C13" s="511"/>
      <c r="D13" s="511"/>
      <c r="E13" s="511"/>
      <c r="F13" s="474">
        <f>'T-9'!E32</f>
        <v>0.38900000000000001</v>
      </c>
      <c r="G13" s="511"/>
      <c r="H13" s="511"/>
      <c r="I13" s="511"/>
      <c r="J13" s="474">
        <f>'T-9'!F32</f>
        <v>0.45900000000000002</v>
      </c>
      <c r="K13" s="475"/>
      <c r="M13" s="478"/>
      <c r="N13" s="480"/>
    </row>
    <row r="14" spans="1:14" ht="15" customHeight="1" collapsed="1">
      <c r="A14" s="389">
        <f>MAX($A$7:A11)+1</f>
        <v>4</v>
      </c>
      <c r="B14" s="396" t="s">
        <v>377</v>
      </c>
      <c r="C14" s="453">
        <f>C8+C11</f>
        <v>259457.69749393896</v>
      </c>
      <c r="D14" s="453">
        <f t="shared" ref="D14:E14" si="3">D8+D11</f>
        <v>299274.68619871489</v>
      </c>
      <c r="E14" s="453">
        <f t="shared" si="3"/>
        <v>314315.83962106844</v>
      </c>
      <c r="F14" s="453">
        <f>F8+F11</f>
        <v>291016.07443790743</v>
      </c>
      <c r="G14" s="453">
        <f t="shared" ref="G14:I14" si="4">G8+G11</f>
        <v>306416.92879984743</v>
      </c>
      <c r="H14" s="453">
        <f t="shared" si="4"/>
        <v>353440.46339416539</v>
      </c>
      <c r="I14" s="453">
        <f t="shared" si="4"/>
        <v>371203.94127891189</v>
      </c>
      <c r="J14" s="453">
        <f>J8+J11</f>
        <v>343687.11115764151</v>
      </c>
      <c r="K14" s="394">
        <f>IF(F14=0,0,(J14/F14)-1)</f>
        <v>0.18099012854003793</v>
      </c>
      <c r="L14" s="282"/>
      <c r="M14" s="284"/>
      <c r="N14" s="284"/>
    </row>
    <row r="15" spans="1:14" ht="22.5" customHeight="1">
      <c r="A15" s="389">
        <f>MAX($A$7:A14)+1</f>
        <v>5</v>
      </c>
      <c r="B15" s="392" t="s">
        <v>370</v>
      </c>
      <c r="C15" s="393">
        <f>C16*$F$17*12</f>
        <v>625287.2342399999</v>
      </c>
      <c r="D15" s="393">
        <f>D16*$F$17*12</f>
        <v>618736.43423999986</v>
      </c>
      <c r="E15" s="393">
        <f>E16*$F$17*12</f>
        <v>652368.81823999994</v>
      </c>
      <c r="F15" s="393">
        <f>AVERAGE(C15:E15)</f>
        <v>632130.8289066666</v>
      </c>
      <c r="G15" s="393">
        <f>G16*$J$17*12</f>
        <v>775158.87108757277</v>
      </c>
      <c r="H15" s="393">
        <f t="shared" ref="H15:I15" si="5">H16*$J$17*12</f>
        <v>767037.94608757284</v>
      </c>
      <c r="I15" s="393">
        <f t="shared" si="5"/>
        <v>808731.49008757295</v>
      </c>
      <c r="J15" s="393">
        <f>J16*$J$17*12</f>
        <v>783642.76908757281</v>
      </c>
      <c r="K15" s="394">
        <f>IF(F15=0,0,(J15/F15)-1)</f>
        <v>0.23968446601941751</v>
      </c>
      <c r="L15" s="409"/>
      <c r="M15" s="284"/>
      <c r="N15" s="518"/>
    </row>
    <row r="16" spans="1:14" s="477" customFormat="1" ht="14.25" hidden="1" customHeight="1" outlineLevel="1">
      <c r="A16" s="476"/>
      <c r="B16" s="472" t="s">
        <v>391</v>
      </c>
      <c r="C16" s="510">
        <f>G16</f>
        <v>31618.488786407765</v>
      </c>
      <c r="D16" s="510">
        <f t="shared" ref="D16:E16" si="6">H16</f>
        <v>31287.238786407765</v>
      </c>
      <c r="E16" s="510">
        <f t="shared" si="6"/>
        <v>32987.905453074432</v>
      </c>
      <c r="F16" s="510">
        <f>AVERAGE(G16:I16)</f>
        <v>31964.544341963319</v>
      </c>
      <c r="G16" s="473">
        <f>'T-4'!P9</f>
        <v>31618.488786407765</v>
      </c>
      <c r="H16" s="473">
        <f>'T-4'!P25</f>
        <v>31287.238786407765</v>
      </c>
      <c r="I16" s="473">
        <f>'T-4'!P41</f>
        <v>32987.905453074432</v>
      </c>
      <c r="J16" s="510">
        <f>AVERAGE(G16:I16)</f>
        <v>31964.544341963319</v>
      </c>
      <c r="K16" s="475"/>
      <c r="L16" s="409"/>
      <c r="M16" s="284"/>
      <c r="N16" s="518"/>
    </row>
    <row r="17" spans="1:14" s="477" customFormat="1" ht="14.25" hidden="1" customHeight="1" outlineLevel="1">
      <c r="A17" s="476"/>
      <c r="B17" s="472" t="s">
        <v>392</v>
      </c>
      <c r="C17" s="511"/>
      <c r="D17" s="511"/>
      <c r="E17" s="511"/>
      <c r="F17" s="474">
        <f>'T-9'!E8</f>
        <v>1.6479999999999999</v>
      </c>
      <c r="G17" s="511"/>
      <c r="H17" s="511"/>
      <c r="I17" s="511"/>
      <c r="J17" s="474">
        <f>'T-9'!F8</f>
        <v>2.0430000000000001</v>
      </c>
      <c r="K17" s="475"/>
      <c r="L17" s="409"/>
      <c r="M17" s="284"/>
      <c r="N17" s="518"/>
    </row>
    <row r="18" spans="1:14" ht="15" customHeight="1" collapsed="1">
      <c r="A18" s="389">
        <f>MAX($A$7:A15)+1</f>
        <v>6</v>
      </c>
      <c r="B18" s="392" t="s">
        <v>431</v>
      </c>
      <c r="C18" s="393">
        <f>C19*$F$20*12</f>
        <v>121315.56</v>
      </c>
      <c r="D18" s="393">
        <f>D19*$F$20*12</f>
        <v>120059.45999999999</v>
      </c>
      <c r="E18" s="393">
        <f>E19*$F$20*12</f>
        <v>126508.38800000001</v>
      </c>
      <c r="F18" s="393">
        <f>AVERAGE(C18:E18)</f>
        <v>122627.80266666667</v>
      </c>
      <c r="G18" s="393">
        <f t="shared" ref="G18:I18" si="7">G19*$J$20*12</f>
        <v>150108.81</v>
      </c>
      <c r="H18" s="393">
        <f t="shared" si="7"/>
        <v>148554.58499999999</v>
      </c>
      <c r="I18" s="393">
        <f t="shared" si="7"/>
        <v>156534.11299999998</v>
      </c>
      <c r="J18" s="393">
        <f>J19*$J$20*12</f>
        <v>151732.50266666664</v>
      </c>
      <c r="K18" s="394">
        <f>IF(F18=0,0,(J18/F18)-1)</f>
        <v>0.23734177215189844</v>
      </c>
      <c r="L18" s="409"/>
      <c r="M18" s="284"/>
      <c r="N18" s="518"/>
    </row>
    <row r="19" spans="1:14" s="477" customFormat="1" ht="14.25" hidden="1" customHeight="1" outlineLevel="1">
      <c r="A19" s="476"/>
      <c r="B19" s="472" t="s">
        <v>391</v>
      </c>
      <c r="C19" s="510">
        <f>G19</f>
        <v>31992.5</v>
      </c>
      <c r="D19" s="510">
        <f t="shared" ref="D19" si="8">H19</f>
        <v>31661.25</v>
      </c>
      <c r="E19" s="510">
        <f t="shared" ref="E19" si="9">I19</f>
        <v>33361.916666666664</v>
      </c>
      <c r="F19" s="510">
        <f>AVERAGE(G19:I19)</f>
        <v>32338.555555555551</v>
      </c>
      <c r="G19" s="473">
        <f>('T-4'!P10+'T-4'!P11)</f>
        <v>31992.5</v>
      </c>
      <c r="H19" s="473">
        <f>('T-4'!P26+'T-4'!P27)</f>
        <v>31661.25</v>
      </c>
      <c r="I19" s="473">
        <f>('T-4'!P42+'T-4'!P43)</f>
        <v>33361.916666666664</v>
      </c>
      <c r="J19" s="510">
        <f>AVERAGE(G19:I19)</f>
        <v>32338.555555555551</v>
      </c>
      <c r="K19" s="475"/>
      <c r="M19" s="478"/>
      <c r="N19" s="478"/>
    </row>
    <row r="20" spans="1:14" s="477" customFormat="1" ht="14.25" hidden="1" customHeight="1" outlineLevel="1">
      <c r="A20" s="476"/>
      <c r="B20" s="472" t="s">
        <v>392</v>
      </c>
      <c r="C20" s="511"/>
      <c r="D20" s="511"/>
      <c r="E20" s="511"/>
      <c r="F20" s="474">
        <f>'T-9'!E34</f>
        <v>0.316</v>
      </c>
      <c r="G20" s="511"/>
      <c r="H20" s="511"/>
      <c r="I20" s="511"/>
      <c r="J20" s="474">
        <f>'T-9'!F34</f>
        <v>0.39100000000000001</v>
      </c>
      <c r="K20" s="475"/>
      <c r="M20" s="478"/>
      <c r="N20" s="478"/>
    </row>
    <row r="21" spans="1:14" ht="15" customHeight="1" collapsed="1">
      <c r="A21" s="389">
        <f>MAX($A$7:A18)+1</f>
        <v>7</v>
      </c>
      <c r="B21" s="392" t="s">
        <v>371</v>
      </c>
      <c r="C21" s="393">
        <f>C22*$F$23+C24*$F$25+C26*$F$27/1000</f>
        <v>32889.107127609794</v>
      </c>
      <c r="D21" s="393">
        <f>D22*$F$23+D24*$F$25+D26*$F$27/1000</f>
        <v>33673.718629020252</v>
      </c>
      <c r="E21" s="393">
        <f>E22*$F$23+E24*$F$25+E26*$F$27/1000</f>
        <v>33215.743407127993</v>
      </c>
      <c r="F21" s="393">
        <f>AVERAGE(C21:E21)</f>
        <v>33259.523054586018</v>
      </c>
      <c r="G21" s="393">
        <f t="shared" ref="G21:I21" si="10">G22*$J$23+G24*$J$25+G26*$J$27/1000</f>
        <v>40772.974585289187</v>
      </c>
      <c r="H21" s="393">
        <f t="shared" si="10"/>
        <v>41745.947609927585</v>
      </c>
      <c r="I21" s="393">
        <f t="shared" si="10"/>
        <v>41177.906032694045</v>
      </c>
      <c r="J21" s="393">
        <f>J22*$J$23+J24*$J$25+J26*$J$27/1000</f>
        <v>41232.276075970265</v>
      </c>
      <c r="K21" s="394">
        <f>IF(F21=0,0,(J21/F21)-1)</f>
        <v>0.23971339000560077</v>
      </c>
      <c r="L21" s="282"/>
      <c r="M21" s="284"/>
      <c r="N21" s="284"/>
    </row>
    <row r="22" spans="1:14" s="477" customFormat="1" ht="14.25" hidden="1" customHeight="1" outlineLevel="1">
      <c r="A22" s="476"/>
      <c r="B22" s="472" t="s">
        <v>393</v>
      </c>
      <c r="C22" s="510">
        <f>G22</f>
        <v>105963.27239174154</v>
      </c>
      <c r="D22" s="510">
        <f t="shared" ref="D22" si="11">H22</f>
        <v>107471.49135234444</v>
      </c>
      <c r="E22" s="510">
        <f t="shared" ref="E22" si="12">I22</f>
        <v>107022.88867730518</v>
      </c>
      <c r="F22" s="510">
        <f>AVERAGE(G22:I22)</f>
        <v>106819.21747379705</v>
      </c>
      <c r="G22" s="473">
        <f>'T-5'!P10</f>
        <v>105963.27239174154</v>
      </c>
      <c r="H22" s="473">
        <f>'T-5'!P18</f>
        <v>107471.49135234444</v>
      </c>
      <c r="I22" s="473">
        <f>'T-5'!P26</f>
        <v>107022.88867730518</v>
      </c>
      <c r="J22" s="510">
        <f>AVERAGE(G22:I22)</f>
        <v>106819.21747379705</v>
      </c>
      <c r="K22" s="475"/>
      <c r="M22" s="478"/>
      <c r="N22" s="478"/>
    </row>
    <row r="23" spans="1:14" s="477" customFormat="1" ht="14.25" hidden="1" customHeight="1" outlineLevel="1">
      <c r="A23" s="476"/>
      <c r="B23" s="472" t="s">
        <v>394</v>
      </c>
      <c r="C23" s="511"/>
      <c r="D23" s="511"/>
      <c r="E23" s="511"/>
      <c r="F23" s="474">
        <f>'T-9'!E9</f>
        <v>7.5999999999999998E-2</v>
      </c>
      <c r="G23" s="511"/>
      <c r="H23" s="511"/>
      <c r="I23" s="511"/>
      <c r="J23" s="474">
        <f>'T-9'!F9</f>
        <v>9.4E-2</v>
      </c>
      <c r="K23" s="475"/>
      <c r="M23" s="478"/>
      <c r="N23" s="478"/>
    </row>
    <row r="24" spans="1:14" s="477" customFormat="1" ht="14.25" hidden="1" customHeight="1" outlineLevel="1">
      <c r="A24" s="476"/>
      <c r="B24" s="472" t="s">
        <v>395</v>
      </c>
      <c r="C24" s="510">
        <f>G24</f>
        <v>263685.72470373748</v>
      </c>
      <c r="D24" s="510">
        <f t="shared" ref="D24" si="13">H24</f>
        <v>269808.35004557885</v>
      </c>
      <c r="E24" s="510">
        <f t="shared" ref="E24" si="14">I24</f>
        <v>266226.23518687329</v>
      </c>
      <c r="F24" s="510">
        <f>AVERAGE(G24:I24)</f>
        <v>266573.43664539652</v>
      </c>
      <c r="G24" s="473">
        <f>'T-5'!P11</f>
        <v>263685.72470373748</v>
      </c>
      <c r="H24" s="473">
        <f>'T-5'!P19</f>
        <v>269808.35004557885</v>
      </c>
      <c r="I24" s="473">
        <f>'T-5'!P27</f>
        <v>266226.23518687329</v>
      </c>
      <c r="J24" s="510">
        <f>AVERAGE(G24:I24)</f>
        <v>266573.43664539652</v>
      </c>
      <c r="K24" s="475"/>
      <c r="M24" s="478"/>
      <c r="N24" s="478"/>
    </row>
    <row r="25" spans="1:14" s="477" customFormat="1" ht="14.25" hidden="1" customHeight="1" outlineLevel="1">
      <c r="A25" s="476"/>
      <c r="B25" s="472" t="s">
        <v>396</v>
      </c>
      <c r="C25" s="511"/>
      <c r="D25" s="511"/>
      <c r="E25" s="511"/>
      <c r="F25" s="474">
        <f>'T-9'!E10</f>
        <v>5.3999999999999999E-2</v>
      </c>
      <c r="G25" s="511"/>
      <c r="H25" s="511"/>
      <c r="I25" s="511"/>
      <c r="J25" s="474">
        <f>'T-9'!F10</f>
        <v>6.7000000000000004E-2</v>
      </c>
      <c r="K25" s="475"/>
      <c r="M25" s="478"/>
      <c r="N25" s="478"/>
    </row>
    <row r="26" spans="1:14" s="477" customFormat="1" ht="14.25" hidden="1" customHeight="1" outlineLevel="1">
      <c r="A26" s="476"/>
      <c r="B26" s="472" t="s">
        <v>397</v>
      </c>
      <c r="C26" s="510">
        <f>G26</f>
        <v>2235626.4328767122</v>
      </c>
      <c r="D26" s="510">
        <f t="shared" ref="D26" si="15">H26</f>
        <v>2307222.4438356166</v>
      </c>
      <c r="E26" s="510">
        <f t="shared" ref="E26" si="16">I26</f>
        <v>2258604.8876712327</v>
      </c>
      <c r="F26" s="510">
        <f>AVERAGE(G26:I26)</f>
        <v>2267151.2547945208</v>
      </c>
      <c r="G26" s="473">
        <f>'T-5'!P12</f>
        <v>2235626.4328767122</v>
      </c>
      <c r="H26" s="473">
        <f>'T-5'!P20</f>
        <v>2307222.4438356166</v>
      </c>
      <c r="I26" s="473">
        <f>'T-5'!P28</f>
        <v>2258604.8876712327</v>
      </c>
      <c r="J26" s="510">
        <f>AVERAGE(G26:I26)</f>
        <v>2267151.2547945208</v>
      </c>
      <c r="K26" s="475"/>
      <c r="M26" s="478"/>
      <c r="N26" s="478"/>
    </row>
    <row r="27" spans="1:14" s="477" customFormat="1" ht="14.25" hidden="1" customHeight="1" outlineLevel="1">
      <c r="A27" s="476"/>
      <c r="B27" s="472" t="s">
        <v>398</v>
      </c>
      <c r="C27" s="512"/>
      <c r="D27" s="512"/>
      <c r="E27" s="512"/>
      <c r="F27" s="481">
        <f>'T-9'!E11</f>
        <v>4.74</v>
      </c>
      <c r="G27" s="512"/>
      <c r="H27" s="512"/>
      <c r="I27" s="512"/>
      <c r="J27" s="481">
        <f>'T-9'!F11</f>
        <v>5.88</v>
      </c>
      <c r="K27" s="475"/>
      <c r="M27" s="478"/>
      <c r="N27" s="478"/>
    </row>
    <row r="28" spans="1:14" ht="15" customHeight="1" collapsed="1">
      <c r="A28" s="389">
        <f>MAX($A$7:A21)+1</f>
        <v>8</v>
      </c>
      <c r="B28" s="392" t="s">
        <v>432</v>
      </c>
      <c r="C28" s="393">
        <f>C29*$F$30+C31*$F$32+C33*$F$34/1000</f>
        <v>6260.7263868313057</v>
      </c>
      <c r="D28" s="393">
        <f t="shared" ref="D28:E28" si="17">D29*$F$30+D31*$F$32+D33*$F$34/1000</f>
        <v>6409.7282946313662</v>
      </c>
      <c r="E28" s="393">
        <f t="shared" si="17"/>
        <v>6322.9361298091317</v>
      </c>
      <c r="F28" s="393">
        <f>AVERAGE(C28:E28)</f>
        <v>6331.1302704239351</v>
      </c>
      <c r="G28" s="393">
        <f>G29*$J$30+G31*$J$32+G33*$J$34/1000</f>
        <v>7861.5111933506196</v>
      </c>
      <c r="H28" s="393">
        <f t="shared" ref="H28:I28" si="18">H29*$J$30+H31*$J$32+H33*$J$34/1000</f>
        <v>8049.1567564689713</v>
      </c>
      <c r="I28" s="393">
        <f t="shared" si="18"/>
        <v>7939.5765766893383</v>
      </c>
      <c r="J28" s="393">
        <f>J29*$J$30+J31*$J$32+J33*$J$34/1000</f>
        <v>7950.0815088363088</v>
      </c>
      <c r="K28" s="394">
        <f>IF(F28=0,0,(J28/F28)-1)</f>
        <v>0.25571282997845635</v>
      </c>
      <c r="L28" s="282"/>
      <c r="M28" s="284"/>
      <c r="N28" s="284"/>
    </row>
    <row r="29" spans="1:14" s="477" customFormat="1" ht="14.25" hidden="1" customHeight="1" outlineLevel="1">
      <c r="A29" s="476"/>
      <c r="B29" s="472" t="s">
        <v>393</v>
      </c>
      <c r="C29" s="510">
        <f>G29</f>
        <v>105963.27239174154</v>
      </c>
      <c r="D29" s="510">
        <f>H29</f>
        <v>107471.49135234444</v>
      </c>
      <c r="E29" s="510">
        <f t="shared" ref="E29" si="19">I29</f>
        <v>107022.88867730518</v>
      </c>
      <c r="F29" s="510">
        <f>AVERAGE(G29:I29)</f>
        <v>106819.21747379705</v>
      </c>
      <c r="G29" s="473">
        <f>'T-5'!P10</f>
        <v>105963.27239174154</v>
      </c>
      <c r="H29" s="473">
        <f>'T-5'!P18</f>
        <v>107471.49135234444</v>
      </c>
      <c r="I29" s="473">
        <f>'T-5'!P26</f>
        <v>107022.88867730518</v>
      </c>
      <c r="J29" s="510">
        <f>AVERAGE(G29:I29)</f>
        <v>106819.21747379705</v>
      </c>
      <c r="K29" s="475"/>
      <c r="M29" s="478"/>
      <c r="N29" s="478"/>
    </row>
    <row r="30" spans="1:14" s="477" customFormat="1" ht="14.25" hidden="1" customHeight="1" outlineLevel="1">
      <c r="A30" s="476"/>
      <c r="B30" s="472" t="s">
        <v>394</v>
      </c>
      <c r="C30" s="511"/>
      <c r="D30" s="511"/>
      <c r="E30" s="511"/>
      <c r="F30" s="474">
        <f>'T-9'!E35</f>
        <v>1.4999999999999999E-2</v>
      </c>
      <c r="G30" s="511"/>
      <c r="H30" s="511"/>
      <c r="I30" s="511"/>
      <c r="J30" s="474">
        <f>'T-9'!F35</f>
        <v>1.7999999999999999E-2</v>
      </c>
      <c r="K30" s="475"/>
      <c r="M30" s="478"/>
      <c r="N30" s="478"/>
    </row>
    <row r="31" spans="1:14" s="477" customFormat="1" ht="14.25" hidden="1" customHeight="1" outlineLevel="1">
      <c r="A31" s="476"/>
      <c r="B31" s="472" t="s">
        <v>395</v>
      </c>
      <c r="C31" s="510">
        <f>G31</f>
        <v>263685.72470373748</v>
      </c>
      <c r="D31" s="510">
        <f t="shared" ref="D31" si="20">H31</f>
        <v>269808.35004557885</v>
      </c>
      <c r="E31" s="510">
        <f t="shared" ref="E31" si="21">I31</f>
        <v>266226.23518687329</v>
      </c>
      <c r="F31" s="510">
        <f>AVERAGE(G31:I31)</f>
        <v>266573.43664539652</v>
      </c>
      <c r="G31" s="473">
        <f>'T-5'!P11</f>
        <v>263685.72470373748</v>
      </c>
      <c r="H31" s="473">
        <f>'T-5'!P19</f>
        <v>269808.35004557885</v>
      </c>
      <c r="I31" s="473">
        <f>'T-5'!P27</f>
        <v>266226.23518687329</v>
      </c>
      <c r="J31" s="510">
        <f>AVERAGE(G31:I31)</f>
        <v>266573.43664539652</v>
      </c>
      <c r="K31" s="475"/>
      <c r="M31" s="478"/>
      <c r="N31" s="478"/>
    </row>
    <row r="32" spans="1:14" s="477" customFormat="1" ht="14.25" hidden="1" customHeight="1" outlineLevel="1">
      <c r="A32" s="476"/>
      <c r="B32" s="472" t="s">
        <v>396</v>
      </c>
      <c r="C32" s="511"/>
      <c r="D32" s="511"/>
      <c r="E32" s="511"/>
      <c r="F32" s="474">
        <f>'T-9'!E36</f>
        <v>0.01</v>
      </c>
      <c r="G32" s="511"/>
      <c r="H32" s="511"/>
      <c r="I32" s="511"/>
      <c r="J32" s="474">
        <f>'T-9'!F36</f>
        <v>1.2999999999999999E-2</v>
      </c>
      <c r="K32" s="475"/>
      <c r="M32" s="478"/>
      <c r="N32" s="478"/>
    </row>
    <row r="33" spans="1:14" s="477" customFormat="1" ht="14.25" hidden="1" customHeight="1" outlineLevel="1">
      <c r="A33" s="476"/>
      <c r="B33" s="472" t="s">
        <v>397</v>
      </c>
      <c r="C33" s="510">
        <f>G33</f>
        <v>2235626.4328767122</v>
      </c>
      <c r="D33" s="510">
        <f t="shared" ref="D33" si="22">H33</f>
        <v>2307222.4438356166</v>
      </c>
      <c r="E33" s="510">
        <f t="shared" ref="E33" si="23">I33</f>
        <v>2258604.8876712327</v>
      </c>
      <c r="F33" s="510">
        <f>AVERAGE(G33:I33)</f>
        <v>2267151.2547945208</v>
      </c>
      <c r="G33" s="473">
        <f>'T-5'!P12</f>
        <v>2235626.4328767122</v>
      </c>
      <c r="H33" s="473">
        <f>'T-5'!P20</f>
        <v>2307222.4438356166</v>
      </c>
      <c r="I33" s="473">
        <f>'T-5'!P28</f>
        <v>2258604.8876712327</v>
      </c>
      <c r="J33" s="510">
        <f>AVERAGE(G33:I33)</f>
        <v>2267151.2547945208</v>
      </c>
      <c r="K33" s="475"/>
      <c r="M33" s="478"/>
      <c r="N33" s="478"/>
    </row>
    <row r="34" spans="1:14" s="477" customFormat="1" ht="14.25" hidden="1" customHeight="1" outlineLevel="1">
      <c r="A34" s="476"/>
      <c r="B34" s="472" t="s">
        <v>398</v>
      </c>
      <c r="C34" s="512"/>
      <c r="D34" s="512"/>
      <c r="E34" s="512"/>
      <c r="F34" s="481">
        <f>'T-9'!E37</f>
        <v>0.91</v>
      </c>
      <c r="G34" s="512"/>
      <c r="H34" s="512"/>
      <c r="I34" s="512"/>
      <c r="J34" s="481">
        <f>'T-9'!F37</f>
        <v>1.1299999999999999</v>
      </c>
      <c r="K34" s="475"/>
      <c r="M34" s="478"/>
      <c r="N34" s="478"/>
    </row>
    <row r="35" spans="1:14" ht="15" customHeight="1" collapsed="1">
      <c r="A35" s="389">
        <f>MAX($A$7:A28)+1</f>
        <v>9</v>
      </c>
      <c r="B35" s="396" t="s">
        <v>378</v>
      </c>
      <c r="C35" s="453">
        <f>C28+C21+C18+C15</f>
        <v>785752.627754441</v>
      </c>
      <c r="D35" s="453">
        <f>D28+D21+D18+D15</f>
        <v>778879.34116365144</v>
      </c>
      <c r="E35" s="453">
        <f t="shared" ref="E35" si="24">E28+E21+E18+E15</f>
        <v>818415.88577693701</v>
      </c>
      <c r="F35" s="453">
        <f>F28+F21+F18+F15</f>
        <v>794349.28489834326</v>
      </c>
      <c r="G35" s="453">
        <f t="shared" ref="G35:I35" si="25">G28+G21+G18+G15</f>
        <v>973902.16686621262</v>
      </c>
      <c r="H35" s="453">
        <f t="shared" si="25"/>
        <v>965387.63545396936</v>
      </c>
      <c r="I35" s="453">
        <f t="shared" si="25"/>
        <v>1014383.0856969564</v>
      </c>
      <c r="J35" s="453">
        <f>J28+J21+J18+J15</f>
        <v>984557.62933904608</v>
      </c>
      <c r="K35" s="394">
        <f>IF(F35=0,0,(J35/F35)-1)</f>
        <v>0.23945177273627771</v>
      </c>
      <c r="L35" s="282"/>
      <c r="M35" s="284"/>
      <c r="N35" s="399"/>
    </row>
    <row r="36" spans="1:14" ht="22.5" customHeight="1">
      <c r="A36" s="389">
        <f>MAX($A$7:A35)+1</f>
        <v>10</v>
      </c>
      <c r="B36" s="392" t="s">
        <v>379</v>
      </c>
      <c r="C36" s="393">
        <f>SUM(,C8,C15,C21)</f>
        <v>875551.56906760973</v>
      </c>
      <c r="D36" s="393">
        <f t="shared" ref="D36:E36" si="26">SUM(,D8,D15,D21)</f>
        <v>903202.03513902007</v>
      </c>
      <c r="E36" s="393">
        <f t="shared" si="26"/>
        <v>948999.82515712793</v>
      </c>
      <c r="F36" s="393">
        <f>SUM(,F8,F15,F21)</f>
        <v>909251.14312125265</v>
      </c>
      <c r="G36" s="393">
        <f>SUM(,G8,G15,G21)</f>
        <v>1072693.6237389871</v>
      </c>
      <c r="H36" s="393">
        <f t="shared" ref="H36:J36" si="27">SUM(,H8,H15,H21)</f>
        <v>1105017.1411449302</v>
      </c>
      <c r="I36" s="393">
        <f t="shared" si="27"/>
        <v>1161053.2745843192</v>
      </c>
      <c r="J36" s="393">
        <f t="shared" si="27"/>
        <v>1112921.3464894122</v>
      </c>
      <c r="K36" s="394">
        <f>IF(F36=0,0,(J36/F36)-1)</f>
        <v>0.22399774243781101</v>
      </c>
      <c r="L36" s="282"/>
      <c r="M36" s="284"/>
      <c r="N36" s="391"/>
    </row>
    <row r="37" spans="1:14" ht="15" customHeight="1">
      <c r="A37" s="389">
        <f>MAX($A$7:A36)+1</f>
        <v>11</v>
      </c>
      <c r="B37" s="396" t="s">
        <v>97</v>
      </c>
      <c r="C37" s="400">
        <f t="shared" ref="C37:E37" si="28">C36/C40</f>
        <v>0.8376797931646407</v>
      </c>
      <c r="D37" s="400">
        <f t="shared" si="28"/>
        <v>0.83773005731717665</v>
      </c>
      <c r="E37" s="400">
        <f t="shared" si="28"/>
        <v>0.83779751540346403</v>
      </c>
      <c r="F37" s="400">
        <f>F36/F40</f>
        <v>0.83773738981065349</v>
      </c>
      <c r="G37" s="400">
        <f t="shared" ref="G37:H37" si="29">G36/G40</f>
        <v>0.83783302722743513</v>
      </c>
      <c r="H37" s="400">
        <f t="shared" si="29"/>
        <v>0.83787806925713271</v>
      </c>
      <c r="I37" s="400">
        <f>I36/I40</f>
        <v>0.83795045131043966</v>
      </c>
      <c r="J37" s="400">
        <f>J36/J40</f>
        <v>0.83788876594628436</v>
      </c>
      <c r="K37" s="394"/>
      <c r="L37" s="282"/>
      <c r="M37" s="284" t="s">
        <v>8</v>
      </c>
      <c r="N37" s="284"/>
    </row>
    <row r="38" spans="1:14" ht="15" customHeight="1">
      <c r="A38" s="389">
        <f>MAX($A$7:A37)+1</f>
        <v>12</v>
      </c>
      <c r="B38" s="392" t="s">
        <v>433</v>
      </c>
      <c r="C38" s="393">
        <f>SUM(C11,C18,C28)</f>
        <v>169658.75618077026</v>
      </c>
      <c r="D38" s="393">
        <f t="shared" ref="D38:E38" si="30">SUM(D11,D18,D28)</f>
        <v>174951.99222334629</v>
      </c>
      <c r="E38" s="393">
        <f t="shared" si="30"/>
        <v>183731.90024087759</v>
      </c>
      <c r="F38" s="393">
        <f>SUM(F11,F18,F28)</f>
        <v>176114.21621499804</v>
      </c>
      <c r="G38" s="393">
        <f t="shared" ref="G38:J38" si="31">SUM(G11,G18,G28)</f>
        <v>207625.47192707294</v>
      </c>
      <c r="H38" s="393">
        <f t="shared" si="31"/>
        <v>213810.95770320456</v>
      </c>
      <c r="I38" s="393">
        <f t="shared" si="31"/>
        <v>224533.75239154903</v>
      </c>
      <c r="J38" s="393">
        <f t="shared" si="31"/>
        <v>215323.39400727546</v>
      </c>
      <c r="K38" s="394">
        <f>IF(F38=0,0,(J38/F38)-1)</f>
        <v>0.22263493904666576</v>
      </c>
      <c r="L38" s="282"/>
      <c r="M38" s="284"/>
      <c r="N38" s="391"/>
    </row>
    <row r="39" spans="1:14" ht="15" customHeight="1">
      <c r="A39" s="389">
        <f>MAX($A$7:A38)+1</f>
        <v>13</v>
      </c>
      <c r="B39" s="396" t="s">
        <v>97</v>
      </c>
      <c r="C39" s="401">
        <f>C38/C40</f>
        <v>0.16232020683535936</v>
      </c>
      <c r="D39" s="401">
        <f t="shared" ref="D39:E39" si="32">D38/D40</f>
        <v>0.16226994268282327</v>
      </c>
      <c r="E39" s="401">
        <f t="shared" si="32"/>
        <v>0.16220248459653597</v>
      </c>
      <c r="F39" s="401">
        <f>F38/F40</f>
        <v>0.16226261018934651</v>
      </c>
      <c r="G39" s="401">
        <f t="shared" ref="G39:I39" si="33">G38/G40</f>
        <v>0.16216697277256495</v>
      </c>
      <c r="H39" s="401">
        <f>H38/H40</f>
        <v>0.16212193074286724</v>
      </c>
      <c r="I39" s="401">
        <f t="shared" si="33"/>
        <v>0.16204954868956029</v>
      </c>
      <c r="J39" s="401">
        <f>J38/J40</f>
        <v>0.16211123405371575</v>
      </c>
      <c r="K39" s="394"/>
      <c r="L39" s="282"/>
      <c r="M39" s="284"/>
      <c r="N39" s="391"/>
    </row>
    <row r="40" spans="1:14" ht="15" customHeight="1">
      <c r="A40" s="389">
        <f>MAX($A$7:A39)+1</f>
        <v>14</v>
      </c>
      <c r="B40" s="415" t="s">
        <v>375</v>
      </c>
      <c r="C40" s="398">
        <f>C36+C38</f>
        <v>1045210.32524838</v>
      </c>
      <c r="D40" s="398">
        <f t="shared" ref="D40:E40" si="34">D36+D38</f>
        <v>1078154.0273623664</v>
      </c>
      <c r="E40" s="398">
        <f t="shared" si="34"/>
        <v>1132731.7253980055</v>
      </c>
      <c r="F40" s="398">
        <f>F36+F38</f>
        <v>1085365.3593362507</v>
      </c>
      <c r="G40" s="398">
        <f t="shared" ref="G40:I40" si="35">G36+G38</f>
        <v>1280319.09566606</v>
      </c>
      <c r="H40" s="398">
        <f t="shared" si="35"/>
        <v>1318828.0988481347</v>
      </c>
      <c r="I40" s="398">
        <f t="shared" si="35"/>
        <v>1385587.0269758683</v>
      </c>
      <c r="J40" s="398">
        <f>J36+J38</f>
        <v>1328244.7404966876</v>
      </c>
      <c r="K40" s="390">
        <f>IF(F40=0,0,(J40/F40)-1)</f>
        <v>0.22377661040238883</v>
      </c>
      <c r="L40" s="282"/>
      <c r="M40" s="403"/>
      <c r="N40" s="404"/>
    </row>
    <row r="41" spans="1:14" ht="15" customHeight="1">
      <c r="A41" s="389"/>
      <c r="B41" s="402"/>
      <c r="C41" s="398"/>
      <c r="D41" s="398"/>
      <c r="E41" s="398"/>
      <c r="F41" s="398"/>
      <c r="G41" s="398"/>
      <c r="H41" s="398"/>
      <c r="I41" s="398"/>
      <c r="J41" s="398"/>
      <c r="K41" s="390"/>
      <c r="L41" s="282"/>
      <c r="M41" s="403"/>
      <c r="N41" s="404"/>
    </row>
    <row r="42" spans="1:14" ht="15" customHeight="1">
      <c r="A42" s="389">
        <f>MAX($A$7:A40)+1</f>
        <v>15</v>
      </c>
      <c r="B42" s="387" t="s">
        <v>10</v>
      </c>
      <c r="C42" s="386"/>
      <c r="D42" s="386"/>
      <c r="E42" s="386"/>
      <c r="F42" s="398"/>
      <c r="G42" s="386"/>
      <c r="H42" s="386"/>
      <c r="I42" s="386"/>
      <c r="J42" s="398"/>
      <c r="K42" s="390"/>
      <c r="L42" s="282"/>
      <c r="M42" s="284"/>
      <c r="N42" s="405"/>
    </row>
    <row r="43" spans="1:14" ht="15" customHeight="1">
      <c r="A43" s="389">
        <f>MAX($A$7:A42)+1</f>
        <v>16</v>
      </c>
      <c r="B43" s="392" t="s">
        <v>374</v>
      </c>
      <c r="C43" s="393">
        <f>C44*$F$45*12</f>
        <v>760.84800000000007</v>
      </c>
      <c r="D43" s="393">
        <f t="shared" ref="D43:E43" si="36">D44*$F$45*12</f>
        <v>1174.8080000000002</v>
      </c>
      <c r="E43" s="393">
        <f t="shared" si="36"/>
        <v>12135.84</v>
      </c>
      <c r="F43" s="393">
        <f>AVERAGE(C43:E43)</f>
        <v>4690.4986666666673</v>
      </c>
      <c r="G43" s="393">
        <f>G44*$J$45*12</f>
        <v>791.34000000000015</v>
      </c>
      <c r="H43" s="393">
        <f t="shared" ref="H43:I43" si="37">H44*$J$45*12</f>
        <v>1221.8900000000003</v>
      </c>
      <c r="I43" s="393">
        <f t="shared" si="37"/>
        <v>12622.2</v>
      </c>
      <c r="J43" s="393">
        <f>J44*$J$45*12</f>
        <v>4878.4766666666674</v>
      </c>
      <c r="K43" s="394">
        <f>IF(F43=0,0,(J43/F43)-1)</f>
        <v>4.0076335877862634E-2</v>
      </c>
      <c r="L43" s="282"/>
      <c r="M43" s="284"/>
      <c r="N43" s="391"/>
    </row>
    <row r="44" spans="1:14" s="477" customFormat="1" ht="14.25" hidden="1" customHeight="1" outlineLevel="1">
      <c r="A44" s="476"/>
      <c r="B44" s="472" t="s">
        <v>391</v>
      </c>
      <c r="C44" s="510">
        <f>G44</f>
        <v>121</v>
      </c>
      <c r="D44" s="510">
        <f t="shared" ref="D44" si="38">H44</f>
        <v>186.83333333333334</v>
      </c>
      <c r="E44" s="510">
        <f t="shared" ref="E44" si="39">I44</f>
        <v>1930</v>
      </c>
      <c r="F44" s="510">
        <f>AVERAGE(G44:I44)</f>
        <v>745.94444444444446</v>
      </c>
      <c r="G44" s="473">
        <f>'T-4'!P73</f>
        <v>121</v>
      </c>
      <c r="H44" s="473">
        <f>'T-4'!P74</f>
        <v>186.83333333333334</v>
      </c>
      <c r="I44" s="473">
        <f>'T-4'!P75</f>
        <v>1930</v>
      </c>
      <c r="J44" s="510">
        <f>AVERAGE(G44:I44)</f>
        <v>745.94444444444446</v>
      </c>
      <c r="K44" s="475"/>
      <c r="M44" s="478"/>
      <c r="N44" s="478"/>
    </row>
    <row r="45" spans="1:14" s="477" customFormat="1" ht="14.25" hidden="1" customHeight="1" outlineLevel="1">
      <c r="A45" s="476"/>
      <c r="B45" s="472" t="s">
        <v>392</v>
      </c>
      <c r="C45" s="511"/>
      <c r="D45" s="511"/>
      <c r="E45" s="511"/>
      <c r="F45" s="474">
        <f>'T-9'!E18</f>
        <v>0.52400000000000002</v>
      </c>
      <c r="G45" s="511"/>
      <c r="H45" s="511"/>
      <c r="I45" s="511"/>
      <c r="J45" s="474">
        <f>'T-9'!F18</f>
        <v>0.54500000000000004</v>
      </c>
      <c r="K45" s="475"/>
      <c r="M45" s="478"/>
      <c r="N45" s="478"/>
    </row>
    <row r="46" spans="1:14" ht="22.5" customHeight="1" collapsed="1">
      <c r="A46" s="389">
        <f>MAX($A$7:A43)+1</f>
        <v>17</v>
      </c>
      <c r="B46" s="392" t="s">
        <v>372</v>
      </c>
      <c r="C46" s="393">
        <f>C47*$F$48*12</f>
        <v>95045.652000000002</v>
      </c>
      <c r="D46" s="393">
        <f t="shared" ref="D46:E46" si="40">D47*$F$48*12</f>
        <v>93345.174000000014</v>
      </c>
      <c r="E46" s="393">
        <f t="shared" si="40"/>
        <v>92988.532000000007</v>
      </c>
      <c r="F46" s="393">
        <f>AVERAGE(C46:E46)</f>
        <v>93793.119333333336</v>
      </c>
      <c r="G46" s="393">
        <f t="shared" ref="G46:I46" si="41">G47*$J$48*12</f>
        <v>100911.61799999999</v>
      </c>
      <c r="H46" s="393">
        <f t="shared" si="41"/>
        <v>99106.191000000021</v>
      </c>
      <c r="I46" s="393">
        <f t="shared" si="41"/>
        <v>98727.538</v>
      </c>
      <c r="J46" s="393">
        <f>J47*$J$48*12</f>
        <v>99581.782333333365</v>
      </c>
      <c r="K46" s="394">
        <f>IF(F46=0,0,(J46/F46)-1)</f>
        <v>6.1717352415027182E-2</v>
      </c>
      <c r="L46" s="282"/>
      <c r="M46" s="284"/>
      <c r="N46" s="391"/>
    </row>
    <row r="47" spans="1:14" s="477" customFormat="1" ht="14.25" hidden="1" customHeight="1" outlineLevel="1">
      <c r="A47" s="476"/>
      <c r="B47" s="472" t="s">
        <v>391</v>
      </c>
      <c r="C47" s="510">
        <f>G47</f>
        <v>7084.5</v>
      </c>
      <c r="D47" s="510">
        <f t="shared" ref="D47" si="42">H47</f>
        <v>6957.75</v>
      </c>
      <c r="E47" s="510">
        <f t="shared" ref="E47" si="43">I47</f>
        <v>6931.166666666667</v>
      </c>
      <c r="F47" s="510">
        <f>AVERAGE(G47:I47)</f>
        <v>6991.1388888888896</v>
      </c>
      <c r="G47" s="473">
        <f>'T-4'!P68</f>
        <v>7084.5</v>
      </c>
      <c r="H47" s="473">
        <f>'T-4'!P69</f>
        <v>6957.75</v>
      </c>
      <c r="I47" s="473">
        <f>'T-4'!P70</f>
        <v>6931.166666666667</v>
      </c>
      <c r="J47" s="510">
        <f>AVERAGE(G47:I47)</f>
        <v>6991.1388888888896</v>
      </c>
      <c r="K47" s="475"/>
      <c r="M47" s="478"/>
      <c r="N47" s="478"/>
    </row>
    <row r="48" spans="1:14" s="477" customFormat="1" ht="14.25" hidden="1" customHeight="1" outlineLevel="1">
      <c r="A48" s="476"/>
      <c r="B48" s="472" t="s">
        <v>392</v>
      </c>
      <c r="C48" s="511"/>
      <c r="D48" s="511"/>
      <c r="E48" s="511"/>
      <c r="F48" s="474">
        <f>'T-9'!E13</f>
        <v>1.1180000000000001</v>
      </c>
      <c r="G48" s="511"/>
      <c r="H48" s="511"/>
      <c r="I48" s="511"/>
      <c r="J48" s="474">
        <f>'T-9'!F13</f>
        <v>1.1870000000000001</v>
      </c>
      <c r="K48" s="475"/>
      <c r="M48" s="478"/>
      <c r="N48" s="478"/>
    </row>
    <row r="49" spans="1:14" ht="15" customHeight="1" collapsed="1">
      <c r="A49" s="389">
        <f>MAX($A$7:A46)+1</f>
        <v>18</v>
      </c>
      <c r="B49" s="392" t="s">
        <v>434</v>
      </c>
      <c r="C49" s="393">
        <f>C50*$F$51*12</f>
        <v>26864.424000000003</v>
      </c>
      <c r="D49" s="393">
        <f t="shared" ref="D49:E49" si="44">D50*$F$51*12</f>
        <v>26383.788</v>
      </c>
      <c r="E49" s="393">
        <f t="shared" si="44"/>
        <v>26282.984000000004</v>
      </c>
      <c r="F49" s="393">
        <f>AVERAGE(C49:E49)</f>
        <v>26510.398666666664</v>
      </c>
      <c r="G49" s="393">
        <f t="shared" ref="G49:I49" si="45">G50*$J$51*12</f>
        <v>33240.474000000002</v>
      </c>
      <c r="H49" s="393">
        <f t="shared" si="45"/>
        <v>32645.762999999999</v>
      </c>
      <c r="I49" s="393">
        <f t="shared" si="45"/>
        <v>32521.034000000003</v>
      </c>
      <c r="J49" s="393">
        <f>J50*$J$51*12</f>
        <v>32802.423666666669</v>
      </c>
      <c r="K49" s="394">
        <f>IF(F49=0,0,(J49/F49)-1)</f>
        <v>0.23734177215189889</v>
      </c>
      <c r="L49" s="282"/>
      <c r="M49" s="284"/>
      <c r="N49" s="391"/>
    </row>
    <row r="50" spans="1:14" s="477" customFormat="1" ht="14.25" hidden="1" customHeight="1" outlineLevel="1">
      <c r="A50" s="476"/>
      <c r="B50" s="472" t="s">
        <v>391</v>
      </c>
      <c r="C50" s="510">
        <f>G50</f>
        <v>7084.5</v>
      </c>
      <c r="D50" s="510">
        <f t="shared" ref="D50" si="46">H50</f>
        <v>6957.75</v>
      </c>
      <c r="E50" s="510">
        <f t="shared" ref="E50" si="47">I50</f>
        <v>6931.166666666667</v>
      </c>
      <c r="F50" s="510">
        <f>AVERAGE(G50:I50)</f>
        <v>6991.1388888888896</v>
      </c>
      <c r="G50" s="473">
        <f>'T-4'!P68</f>
        <v>7084.5</v>
      </c>
      <c r="H50" s="473">
        <f>'T-4'!P69</f>
        <v>6957.75</v>
      </c>
      <c r="I50" s="473">
        <f>'T-4'!P70</f>
        <v>6931.166666666667</v>
      </c>
      <c r="J50" s="510">
        <f>AVERAGE(G50:I50)</f>
        <v>6991.1388888888896</v>
      </c>
      <c r="K50" s="475"/>
      <c r="M50" s="478"/>
      <c r="N50" s="478"/>
    </row>
    <row r="51" spans="1:14" s="477" customFormat="1" ht="14.25" hidden="1" customHeight="1" outlineLevel="1">
      <c r="A51" s="476"/>
      <c r="B51" s="472" t="s">
        <v>392</v>
      </c>
      <c r="C51" s="511"/>
      <c r="D51" s="511"/>
      <c r="E51" s="511"/>
      <c r="F51" s="474">
        <f>'T-9'!E34</f>
        <v>0.316</v>
      </c>
      <c r="G51" s="511"/>
      <c r="H51" s="511"/>
      <c r="I51" s="511"/>
      <c r="J51" s="474">
        <f>'T-9'!F34</f>
        <v>0.39100000000000001</v>
      </c>
      <c r="K51" s="475"/>
      <c r="M51" s="478"/>
      <c r="N51" s="478"/>
    </row>
    <row r="52" spans="1:14" ht="15" customHeight="1" collapsed="1">
      <c r="A52" s="389">
        <f>MAX($A$7:A49)+1</f>
        <v>19</v>
      </c>
      <c r="B52" s="392" t="s">
        <v>373</v>
      </c>
      <c r="C52" s="393">
        <f>C53*$F$54+C55*$F$56+C57*$F$58/1000</f>
        <v>19539.290279629811</v>
      </c>
      <c r="D52" s="393">
        <f t="shared" ref="D52:E52" si="48">D53*$F$54+D55*$F$56+D57*$F$58/1000</f>
        <v>20567.535762039872</v>
      </c>
      <c r="E52" s="393">
        <f t="shared" si="48"/>
        <v>20993.317552391534</v>
      </c>
      <c r="F52" s="393">
        <f>AVERAGE(C52:E52)</f>
        <v>20366.71453135374</v>
      </c>
      <c r="G52" s="393">
        <f t="shared" ref="G52:I52" si="49">G53*$J$54+G55*$J$56+G57*$J$58/1000</f>
        <v>20738.750543707549</v>
      </c>
      <c r="H52" s="393">
        <f t="shared" si="49"/>
        <v>21830.088262267131</v>
      </c>
      <c r="I52" s="393">
        <f t="shared" si="49"/>
        <v>22282.003438173528</v>
      </c>
      <c r="J52" s="393">
        <f>J53*$J$54+J55*$J$56+J57*$J$58/1000</f>
        <v>21616.947414716069</v>
      </c>
      <c r="K52" s="394">
        <f>IF(F52=0,0,(J52/F52)-1)</f>
        <v>6.1386085685918745E-2</v>
      </c>
      <c r="L52" s="282"/>
      <c r="M52" s="284"/>
      <c r="N52" s="391"/>
    </row>
    <row r="53" spans="1:14" s="477" customFormat="1" ht="14.25" hidden="1" customHeight="1" outlineLevel="1">
      <c r="A53" s="476"/>
      <c r="B53" s="472" t="s">
        <v>393</v>
      </c>
      <c r="C53" s="510">
        <f>G53</f>
        <v>5090.9589041095842</v>
      </c>
      <c r="D53" s="510">
        <f t="shared" ref="D53" si="50">H53</f>
        <v>5312.2191780821859</v>
      </c>
      <c r="E53" s="510">
        <f t="shared" ref="E53" si="51">I53</f>
        <v>5431.8904109588984</v>
      </c>
      <c r="F53" s="510">
        <f>AVERAGE(G53:I53)</f>
        <v>5278.3561643835565</v>
      </c>
      <c r="G53" s="473">
        <f>'T-5'!P40</f>
        <v>5090.9589041095842</v>
      </c>
      <c r="H53" s="473">
        <f>'T-5'!P48</f>
        <v>5312.2191780821859</v>
      </c>
      <c r="I53" s="473">
        <f>'T-5'!P56</f>
        <v>5431.8904109588984</v>
      </c>
      <c r="J53" s="510">
        <f>AVERAGE(G53:I53)</f>
        <v>5278.3561643835565</v>
      </c>
      <c r="K53" s="475"/>
      <c r="M53" s="478"/>
      <c r="N53" s="478"/>
    </row>
    <row r="54" spans="1:14" s="477" customFormat="1" ht="14.25" hidden="1" customHeight="1" outlineLevel="1">
      <c r="A54" s="476"/>
      <c r="B54" s="472" t="s">
        <v>394</v>
      </c>
      <c r="C54" s="511"/>
      <c r="D54" s="511"/>
      <c r="E54" s="511"/>
      <c r="F54" s="474">
        <f>'T-9'!E14</f>
        <v>5.0999999999999997E-2</v>
      </c>
      <c r="G54" s="511"/>
      <c r="H54" s="511"/>
      <c r="I54" s="511"/>
      <c r="J54" s="474">
        <f>'T-9'!F14</f>
        <v>5.5E-2</v>
      </c>
      <c r="K54" s="475"/>
      <c r="M54" s="478"/>
      <c r="N54" s="478"/>
    </row>
    <row r="55" spans="1:14" s="477" customFormat="1" ht="14.25" hidden="1" customHeight="1" outlineLevel="1">
      <c r="A55" s="476"/>
      <c r="B55" s="472" t="s">
        <v>395</v>
      </c>
      <c r="C55" s="510">
        <f>G55</f>
        <v>4863.7793813315429</v>
      </c>
      <c r="D55" s="510">
        <f t="shared" ref="D55" si="52">H55</f>
        <v>5073.8615108888525</v>
      </c>
      <c r="E55" s="510">
        <f t="shared" ref="E55" si="53">I55</f>
        <v>5224.2724252432654</v>
      </c>
      <c r="F55" s="510">
        <f>AVERAGE(G55:I55)</f>
        <v>5053.9711058212206</v>
      </c>
      <c r="G55" s="473">
        <f>'T-5'!P41</f>
        <v>4863.7793813315429</v>
      </c>
      <c r="H55" s="473">
        <f>'T-5'!P49</f>
        <v>5073.8615108888525</v>
      </c>
      <c r="I55" s="473">
        <f>'T-5'!P57</f>
        <v>5224.2724252432654</v>
      </c>
      <c r="J55" s="510">
        <f>AVERAGE(G55:I55)</f>
        <v>5053.9711058212206</v>
      </c>
      <c r="K55" s="475"/>
      <c r="M55" s="478"/>
      <c r="N55" s="478"/>
    </row>
    <row r="56" spans="1:14" s="477" customFormat="1" ht="14.25" hidden="1" customHeight="1" outlineLevel="1">
      <c r="A56" s="476"/>
      <c r="B56" s="472" t="s">
        <v>396</v>
      </c>
      <c r="C56" s="511"/>
      <c r="D56" s="511"/>
      <c r="E56" s="511"/>
      <c r="F56" s="474">
        <f>'T-9'!E15</f>
        <v>3.6999999999999998E-2</v>
      </c>
      <c r="G56" s="511"/>
      <c r="H56" s="511"/>
      <c r="I56" s="511"/>
      <c r="J56" s="474">
        <f>'T-9'!F15</f>
        <v>3.9E-2</v>
      </c>
      <c r="K56" s="475"/>
      <c r="M56" s="478"/>
      <c r="N56" s="478"/>
    </row>
    <row r="57" spans="1:14" s="477" customFormat="1" ht="14.25" hidden="1" customHeight="1" outlineLevel="1">
      <c r="A57" s="476"/>
      <c r="B57" s="472" t="s">
        <v>397</v>
      </c>
      <c r="C57" s="510">
        <f>G57</f>
        <v>1856141.0630136987</v>
      </c>
      <c r="D57" s="510">
        <f t="shared" ref="D57" si="54">H57</f>
        <v>1954215.715068493</v>
      </c>
      <c r="E57" s="510">
        <f t="shared" ref="E57" si="55">I57</f>
        <v>1994459.9671232877</v>
      </c>
      <c r="F57" s="510">
        <f>AVERAGE(G57:I57)</f>
        <v>1934938.9150684932</v>
      </c>
      <c r="G57" s="473">
        <f>'T-5'!P42</f>
        <v>1856141.0630136987</v>
      </c>
      <c r="H57" s="473">
        <f>'T-5'!P50</f>
        <v>1954215.715068493</v>
      </c>
      <c r="I57" s="473">
        <f>'T-5'!P58</f>
        <v>1994459.9671232877</v>
      </c>
      <c r="J57" s="510">
        <f>AVERAGE(G57:I57)</f>
        <v>1934938.9150684932</v>
      </c>
      <c r="K57" s="475"/>
      <c r="M57" s="478"/>
      <c r="N57" s="478"/>
    </row>
    <row r="58" spans="1:14" s="477" customFormat="1" ht="14.25" hidden="1" customHeight="1" outlineLevel="1">
      <c r="A58" s="476"/>
      <c r="B58" s="472" t="s">
        <v>398</v>
      </c>
      <c r="C58" s="512"/>
      <c r="D58" s="512"/>
      <c r="E58" s="512"/>
      <c r="F58" s="481">
        <f>'T-9'!E16</f>
        <v>10.29</v>
      </c>
      <c r="G58" s="512"/>
      <c r="H58" s="512"/>
      <c r="I58" s="512"/>
      <c r="J58" s="481">
        <f>'T-9'!F16</f>
        <v>10.92</v>
      </c>
      <c r="K58" s="475"/>
      <c r="M58" s="478"/>
      <c r="N58" s="478"/>
    </row>
    <row r="59" spans="1:14" ht="15" customHeight="1" collapsed="1">
      <c r="A59" s="389">
        <f>MAX($A$7:A52)+1</f>
        <v>20</v>
      </c>
      <c r="B59" s="392" t="s">
        <v>435</v>
      </c>
      <c r="C59" s="393">
        <f>C60*$J$61+C62*$J$63+C64*$J$65/1000</f>
        <v>2252.3057934367616</v>
      </c>
      <c r="D59" s="393">
        <f>D60*$J$61+D62*$J$63+D64*$J$65/1000</f>
        <v>2369.8439028744315</v>
      </c>
      <c r="E59" s="393">
        <f>E60*$J$61+E62*$J$63+E64*$J$65/1000</f>
        <v>2419.4293317747374</v>
      </c>
      <c r="F59" s="393">
        <f>AVERAGE(C59:E59)</f>
        <v>2347.1930093619771</v>
      </c>
      <c r="G59" s="393">
        <f>G60*$J$61+G62*$J$63+G64*$J$65/1000</f>
        <v>2252.3057934367616</v>
      </c>
      <c r="H59" s="393">
        <f t="shared" ref="H59:I59" si="56">H60*$J$61+H62*$J$63+H64*$J$65/1000</f>
        <v>2369.8439028744315</v>
      </c>
      <c r="I59" s="393">
        <f t="shared" si="56"/>
        <v>2419.4293317747374</v>
      </c>
      <c r="J59" s="393">
        <f>J60*$J$61+J62*$J$63+J64*$J$65/1000</f>
        <v>2347.1930093619771</v>
      </c>
      <c r="K59" s="394">
        <f>IF(F59=0,0,(J59/F59)-1)</f>
        <v>0</v>
      </c>
      <c r="L59" s="282"/>
      <c r="M59" s="284"/>
      <c r="N59" s="399"/>
    </row>
    <row r="60" spans="1:14" s="477" customFormat="1" ht="14.25" hidden="1" customHeight="1" outlineLevel="1">
      <c r="A60" s="476"/>
      <c r="B60" s="472" t="s">
        <v>393</v>
      </c>
      <c r="C60" s="510">
        <f>G60</f>
        <v>5090.9589041095842</v>
      </c>
      <c r="D60" s="510">
        <f t="shared" ref="D60" si="57">H60</f>
        <v>5312.2191780821859</v>
      </c>
      <c r="E60" s="510">
        <f t="shared" ref="E60" si="58">I60</f>
        <v>5431.8904109588984</v>
      </c>
      <c r="F60" s="510">
        <f>AVERAGE(G60:I60)</f>
        <v>5278.3561643835565</v>
      </c>
      <c r="G60" s="473">
        <f>'T-5'!P40</f>
        <v>5090.9589041095842</v>
      </c>
      <c r="H60" s="473">
        <f>'T-5'!P48</f>
        <v>5312.2191780821859</v>
      </c>
      <c r="I60" s="473">
        <f>'T-5'!P56</f>
        <v>5431.8904109588984</v>
      </c>
      <c r="J60" s="510">
        <f>AVERAGE(G60:I60)</f>
        <v>5278.3561643835565</v>
      </c>
      <c r="K60" s="475"/>
      <c r="M60" s="478"/>
      <c r="N60" s="478"/>
    </row>
    <row r="61" spans="1:14" s="477" customFormat="1" ht="14.25" hidden="1" customHeight="1" outlineLevel="1">
      <c r="A61" s="476"/>
      <c r="B61" s="472" t="s">
        <v>394</v>
      </c>
      <c r="C61" s="511"/>
      <c r="D61" s="511"/>
      <c r="E61" s="511"/>
      <c r="F61" s="474">
        <f>'T-9'!E35</f>
        <v>1.4999999999999999E-2</v>
      </c>
      <c r="G61" s="511"/>
      <c r="H61" s="511"/>
      <c r="I61" s="511"/>
      <c r="J61" s="474">
        <f>'T-9'!F35</f>
        <v>1.7999999999999999E-2</v>
      </c>
      <c r="K61" s="475"/>
      <c r="M61" s="478"/>
      <c r="N61" s="478"/>
    </row>
    <row r="62" spans="1:14" s="477" customFormat="1" ht="14.25" hidden="1" customHeight="1" outlineLevel="1">
      <c r="A62" s="476"/>
      <c r="B62" s="472" t="s">
        <v>395</v>
      </c>
      <c r="C62" s="510">
        <f>G62</f>
        <v>4863.7793813315429</v>
      </c>
      <c r="D62" s="510">
        <f t="shared" ref="D62" si="59">H62</f>
        <v>5073.8615108888525</v>
      </c>
      <c r="E62" s="510">
        <f t="shared" ref="E62" si="60">I62</f>
        <v>5224.2724252432654</v>
      </c>
      <c r="F62" s="510">
        <f>AVERAGE(G62:I62)</f>
        <v>5053.9711058212206</v>
      </c>
      <c r="G62" s="473">
        <f>'T-5'!P41</f>
        <v>4863.7793813315429</v>
      </c>
      <c r="H62" s="473">
        <f>'T-5'!P49</f>
        <v>5073.8615108888525</v>
      </c>
      <c r="I62" s="473">
        <f>'T-5'!P57</f>
        <v>5224.2724252432654</v>
      </c>
      <c r="J62" s="510">
        <f>AVERAGE(G62:I62)</f>
        <v>5053.9711058212206</v>
      </c>
      <c r="K62" s="475"/>
      <c r="M62" s="478"/>
      <c r="N62" s="478"/>
    </row>
    <row r="63" spans="1:14" s="477" customFormat="1" ht="14.25" hidden="1" customHeight="1" outlineLevel="1">
      <c r="A63" s="476"/>
      <c r="B63" s="472" t="s">
        <v>396</v>
      </c>
      <c r="C63" s="511"/>
      <c r="D63" s="511"/>
      <c r="E63" s="511"/>
      <c r="F63" s="474">
        <f>'T-9'!E36</f>
        <v>0.01</v>
      </c>
      <c r="G63" s="511"/>
      <c r="H63" s="511"/>
      <c r="I63" s="511"/>
      <c r="J63" s="474">
        <f>'T-9'!F36</f>
        <v>1.2999999999999999E-2</v>
      </c>
      <c r="K63" s="475"/>
      <c r="M63" s="478"/>
      <c r="N63" s="478"/>
    </row>
    <row r="64" spans="1:14" s="477" customFormat="1" ht="14.25" hidden="1" customHeight="1" outlineLevel="1">
      <c r="A64" s="476"/>
      <c r="B64" s="472" t="s">
        <v>397</v>
      </c>
      <c r="C64" s="510">
        <f>G64</f>
        <v>1856141.0630136987</v>
      </c>
      <c r="D64" s="510">
        <f t="shared" ref="D64" si="61">H64</f>
        <v>1954215.715068493</v>
      </c>
      <c r="E64" s="510">
        <f t="shared" ref="E64" si="62">I64</f>
        <v>1994459.9671232877</v>
      </c>
      <c r="F64" s="510">
        <f>AVERAGE(G64:I64)</f>
        <v>1934938.9150684932</v>
      </c>
      <c r="G64" s="473">
        <f>'T-5'!P42</f>
        <v>1856141.0630136987</v>
      </c>
      <c r="H64" s="473">
        <f>'T-5'!P50</f>
        <v>1954215.715068493</v>
      </c>
      <c r="I64" s="473">
        <f>'T-5'!P58</f>
        <v>1994459.9671232877</v>
      </c>
      <c r="J64" s="510">
        <f>AVERAGE(G64:I64)</f>
        <v>1934938.9150684932</v>
      </c>
      <c r="K64" s="475"/>
      <c r="M64" s="478"/>
      <c r="N64" s="478"/>
    </row>
    <row r="65" spans="1:14" s="477" customFormat="1" ht="14.25" hidden="1" customHeight="1" outlineLevel="1">
      <c r="A65" s="476"/>
      <c r="B65" s="472" t="s">
        <v>398</v>
      </c>
      <c r="C65" s="512"/>
      <c r="D65" s="512"/>
      <c r="E65" s="512"/>
      <c r="F65" s="481">
        <f>'T-9'!E37</f>
        <v>0.91</v>
      </c>
      <c r="G65" s="512"/>
      <c r="H65" s="512"/>
      <c r="I65" s="512"/>
      <c r="J65" s="481">
        <f>'T-9'!F37</f>
        <v>1.1299999999999999</v>
      </c>
      <c r="K65" s="475"/>
      <c r="M65" s="478"/>
      <c r="N65" s="478"/>
    </row>
    <row r="66" spans="1:14" ht="15" customHeight="1" collapsed="1">
      <c r="A66" s="389">
        <f>MAX($A$7:A59)+1</f>
        <v>21</v>
      </c>
      <c r="B66" s="396" t="s">
        <v>380</v>
      </c>
      <c r="C66" s="453">
        <f>C46+C49+C52+C59</f>
        <v>143701.67207306658</v>
      </c>
      <c r="D66" s="453">
        <f t="shared" ref="D66:E66" si="63">D46+D49+D52+D59</f>
        <v>142666.3416649143</v>
      </c>
      <c r="E66" s="453">
        <f t="shared" si="63"/>
        <v>142684.26288416627</v>
      </c>
      <c r="F66" s="453">
        <f>F46+F49+F52+F59</f>
        <v>143017.42554071572</v>
      </c>
      <c r="G66" s="453">
        <f t="shared" ref="G66:I66" si="64">G46+G49+G52+G59</f>
        <v>157143.14833714432</v>
      </c>
      <c r="H66" s="453">
        <f t="shared" si="64"/>
        <v>155951.88616514156</v>
      </c>
      <c r="I66" s="453">
        <f t="shared" si="64"/>
        <v>155950.00476994828</v>
      </c>
      <c r="J66" s="453">
        <f>J46+J49+J52+J59</f>
        <v>156348.34642407807</v>
      </c>
      <c r="K66" s="394">
        <f>IF(F66=0,0,(J66/F66)-1)</f>
        <v>9.3211864449113335E-2</v>
      </c>
      <c r="L66" s="282"/>
      <c r="M66" s="284"/>
      <c r="N66" s="399"/>
    </row>
    <row r="67" spans="1:14" ht="22.5" customHeight="1">
      <c r="A67" s="389">
        <f>MAX($A$7:A66)+1</f>
        <v>22</v>
      </c>
      <c r="B67" s="392" t="s">
        <v>381</v>
      </c>
      <c r="C67" s="393">
        <f>SUM(C43,C46,C52)</f>
        <v>115345.79027962981</v>
      </c>
      <c r="D67" s="393">
        <f t="shared" ref="D67:E67" si="65">SUM(D43,D46,D52)</f>
        <v>115087.51776203989</v>
      </c>
      <c r="E67" s="393">
        <f t="shared" si="65"/>
        <v>126117.68955239153</v>
      </c>
      <c r="F67" s="393">
        <f>SUM(F43,F46,F52)</f>
        <v>118850.33253135375</v>
      </c>
      <c r="G67" s="393">
        <f t="shared" ref="G67:I67" si="66">SUM(G43,G46,G52)</f>
        <v>122441.70854370753</v>
      </c>
      <c r="H67" s="393">
        <f t="shared" si="66"/>
        <v>122158.16926226715</v>
      </c>
      <c r="I67" s="393">
        <f t="shared" si="66"/>
        <v>133631.74143817351</v>
      </c>
      <c r="J67" s="393">
        <f>SUM(J43,J46,J52)</f>
        <v>126077.2064147161</v>
      </c>
      <c r="K67" s="394">
        <f>IF(F67=0,0,(J67/F67)-1)</f>
        <v>6.0806509577546519E-2</v>
      </c>
      <c r="L67" s="282"/>
      <c r="M67" s="284"/>
      <c r="N67" s="391"/>
    </row>
    <row r="68" spans="1:14" ht="15" customHeight="1">
      <c r="A68" s="389">
        <f>MAX($A$7:A67)+1</f>
        <v>23</v>
      </c>
      <c r="B68" s="392" t="s">
        <v>436</v>
      </c>
      <c r="C68" s="397">
        <f>SUM(C49,C59)</f>
        <v>29116.729793436763</v>
      </c>
      <c r="D68" s="397">
        <f t="shared" ref="D68:E68" si="67">SUM(D49,D59)</f>
        <v>28753.631902874433</v>
      </c>
      <c r="E68" s="397">
        <f t="shared" si="67"/>
        <v>28702.41333177474</v>
      </c>
      <c r="F68" s="397">
        <f>SUM(F49,F59)</f>
        <v>28857.591676028642</v>
      </c>
      <c r="G68" s="397">
        <f t="shared" ref="G68:I68" si="68">SUM(G49,G59)</f>
        <v>35492.779793436763</v>
      </c>
      <c r="H68" s="397">
        <f t="shared" si="68"/>
        <v>35015.606902874431</v>
      </c>
      <c r="I68" s="397">
        <f t="shared" si="68"/>
        <v>34940.463331774743</v>
      </c>
      <c r="J68" s="397">
        <f>SUM(J49,J59)</f>
        <v>35149.616676028643</v>
      </c>
      <c r="K68" s="394">
        <f>IF(F68=0,0,(J68/F68)-1)</f>
        <v>0.21803707913805725</v>
      </c>
      <c r="L68" s="282"/>
      <c r="M68" s="284"/>
      <c r="N68" s="391"/>
    </row>
    <row r="69" spans="1:14" ht="15" customHeight="1">
      <c r="A69" s="389">
        <f>MAX($A$7:A68)+1</f>
        <v>24</v>
      </c>
      <c r="B69" s="415" t="s">
        <v>376</v>
      </c>
      <c r="C69" s="398">
        <f t="shared" ref="C69:E69" si="69">C67+C68</f>
        <v>144462.52007306658</v>
      </c>
      <c r="D69" s="398">
        <f t="shared" si="69"/>
        <v>143841.14966491432</v>
      </c>
      <c r="E69" s="398">
        <f t="shared" si="69"/>
        <v>154820.10288416626</v>
      </c>
      <c r="F69" s="398">
        <f>F67+F68</f>
        <v>147707.9242073824</v>
      </c>
      <c r="G69" s="398">
        <f t="shared" ref="G69:I69" si="70">G67+G68</f>
        <v>157934.48833714428</v>
      </c>
      <c r="H69" s="398">
        <f t="shared" si="70"/>
        <v>157173.77616514158</v>
      </c>
      <c r="I69" s="398">
        <f t="shared" si="70"/>
        <v>168572.20476994826</v>
      </c>
      <c r="J69" s="398">
        <f>J67+J68</f>
        <v>161226.82309074473</v>
      </c>
      <c r="K69" s="390">
        <f>IF(F69=0,0,(J69/F69)-1)</f>
        <v>9.1524533676214714E-2</v>
      </c>
      <c r="L69" s="282"/>
      <c r="M69" s="284"/>
      <c r="N69" s="399"/>
    </row>
    <row r="70" spans="1:14" ht="15" customHeight="1">
      <c r="A70" s="389"/>
      <c r="B70" s="415"/>
      <c r="C70" s="398"/>
      <c r="D70" s="398"/>
      <c r="E70" s="398"/>
      <c r="F70" s="398"/>
      <c r="G70" s="398"/>
      <c r="H70" s="398"/>
      <c r="I70" s="398"/>
      <c r="J70" s="398"/>
      <c r="K70" s="390"/>
      <c r="L70" s="282"/>
      <c r="M70" s="284"/>
      <c r="N70" s="399"/>
    </row>
    <row r="71" spans="1:14" ht="15" customHeight="1">
      <c r="A71" s="389">
        <f>MAX($A$7:A69)+1</f>
        <v>25</v>
      </c>
      <c r="B71" s="406" t="s">
        <v>110</v>
      </c>
      <c r="C71" s="386"/>
      <c r="D71" s="386"/>
      <c r="E71" s="386"/>
      <c r="F71" s="398"/>
      <c r="G71" s="386"/>
      <c r="H71" s="386"/>
      <c r="I71" s="386"/>
      <c r="J71" s="398"/>
      <c r="K71" s="394"/>
      <c r="L71" s="282"/>
      <c r="M71" s="497"/>
      <c r="N71" s="399"/>
    </row>
    <row r="72" spans="1:14" ht="15" customHeight="1">
      <c r="A72" s="389">
        <f>MAX($A$7:A71)+1</f>
        <v>26</v>
      </c>
      <c r="B72" s="392" t="s">
        <v>428</v>
      </c>
      <c r="C72" s="393">
        <f>SUM(C18,C49)</f>
        <v>148179.984</v>
      </c>
      <c r="D72" s="393">
        <f t="shared" ref="D72:E72" si="71">SUM(D18,D49)</f>
        <v>146443.24799999999</v>
      </c>
      <c r="E72" s="393">
        <f t="shared" si="71"/>
        <v>152791.372</v>
      </c>
      <c r="F72" s="393">
        <f>SUM(F18,F49)</f>
        <v>149138.20133333333</v>
      </c>
      <c r="G72" s="393">
        <f t="shared" ref="G72:I72" si="72">SUM(G18,G49)</f>
        <v>183349.28399999999</v>
      </c>
      <c r="H72" s="393">
        <f t="shared" si="72"/>
        <v>181200.348</v>
      </c>
      <c r="I72" s="393">
        <f t="shared" si="72"/>
        <v>189055.147</v>
      </c>
      <c r="J72" s="393">
        <f>SUM(J18,J49)</f>
        <v>184534.92633333331</v>
      </c>
      <c r="K72" s="394">
        <f t="shared" ref="K72:K76" si="73">IF(F72=0,0,(J72/F72)-1)</f>
        <v>0.23734177215189867</v>
      </c>
      <c r="L72" s="282"/>
      <c r="M72" s="284"/>
      <c r="N72" s="391"/>
    </row>
    <row r="73" spans="1:14" ht="15" customHeight="1">
      <c r="A73" s="389">
        <f>MAX($A$7:A72)+1</f>
        <v>27</v>
      </c>
      <c r="B73" s="392" t="s">
        <v>429</v>
      </c>
      <c r="C73" s="393">
        <f>SUM(C28,C59)</f>
        <v>8513.0321802680664</v>
      </c>
      <c r="D73" s="393">
        <f t="shared" ref="D73:E73" si="74">SUM(D28,D59)</f>
        <v>8779.5721975057968</v>
      </c>
      <c r="E73" s="393">
        <f t="shared" si="74"/>
        <v>8742.3654615838695</v>
      </c>
      <c r="F73" s="393">
        <f>SUM(F28,F59)</f>
        <v>8678.3232797859127</v>
      </c>
      <c r="G73" s="393">
        <f t="shared" ref="G73:H73" si="75">SUM(G28,G59)</f>
        <v>10113.81698678738</v>
      </c>
      <c r="H73" s="393">
        <f t="shared" si="75"/>
        <v>10419.000659343403</v>
      </c>
      <c r="I73" s="393">
        <f>SUM(I28,I59)</f>
        <v>10359.005908464076</v>
      </c>
      <c r="J73" s="393">
        <f>SUM(J28,J59)</f>
        <v>10297.274518198286</v>
      </c>
      <c r="K73" s="394">
        <f t="shared" si="73"/>
        <v>0.18655115581869763</v>
      </c>
      <c r="L73" s="282"/>
      <c r="M73" s="284"/>
      <c r="N73" s="399"/>
    </row>
    <row r="74" spans="1:14" ht="15" customHeight="1">
      <c r="A74" s="389">
        <f>MAX($A$7:A73)+1</f>
        <v>28</v>
      </c>
      <c r="B74" s="392" t="s">
        <v>382</v>
      </c>
      <c r="C74" s="397">
        <f>C11</f>
        <v>42082.469793938944</v>
      </c>
      <c r="D74" s="397">
        <f t="shared" ref="D74:E74" si="76">D11</f>
        <v>48482.803928714915</v>
      </c>
      <c r="E74" s="397">
        <f t="shared" si="76"/>
        <v>50900.576111068447</v>
      </c>
      <c r="F74" s="397">
        <f>F11</f>
        <v>47155.283277907438</v>
      </c>
      <c r="G74" s="397">
        <f t="shared" ref="G74:H74" si="77">G11</f>
        <v>49655.150733722301</v>
      </c>
      <c r="H74" s="397">
        <f t="shared" si="77"/>
        <v>57207.215946735596</v>
      </c>
      <c r="I74" s="397">
        <f>I11</f>
        <v>60060.062814859688</v>
      </c>
      <c r="J74" s="397">
        <f>J11</f>
        <v>55640.809831772523</v>
      </c>
      <c r="K74" s="394">
        <f t="shared" si="73"/>
        <v>0.17994858611825171</v>
      </c>
      <c r="L74" s="282"/>
      <c r="M74" s="284"/>
      <c r="N74" s="391"/>
    </row>
    <row r="75" spans="1:14" ht="15" customHeight="1">
      <c r="A75" s="389">
        <f>MAX($A$7:A74)+1</f>
        <v>29</v>
      </c>
      <c r="B75" s="396" t="s">
        <v>383</v>
      </c>
      <c r="C75" s="398">
        <f>SUM(C72:C74)</f>
        <v>198775.485974207</v>
      </c>
      <c r="D75" s="398">
        <f t="shared" ref="D75" si="78">SUM(D72:D74)</f>
        <v>203705.6241262207</v>
      </c>
      <c r="E75" s="398">
        <f t="shared" ref="E75:J75" si="79">SUM(E72:E74)</f>
        <v>212434.31357265232</v>
      </c>
      <c r="F75" s="398">
        <f t="shared" si="79"/>
        <v>204971.80789102669</v>
      </c>
      <c r="G75" s="398">
        <f t="shared" si="79"/>
        <v>243118.25172050967</v>
      </c>
      <c r="H75" s="398">
        <f t="shared" si="79"/>
        <v>248826.56460607902</v>
      </c>
      <c r="I75" s="398">
        <f t="shared" si="79"/>
        <v>259474.21572332375</v>
      </c>
      <c r="J75" s="398">
        <f t="shared" si="79"/>
        <v>250473.01068330411</v>
      </c>
      <c r="K75" s="390">
        <f t="shared" si="73"/>
        <v>0.22198761507957299</v>
      </c>
      <c r="L75" s="407"/>
      <c r="M75" s="408"/>
      <c r="N75" s="408"/>
    </row>
    <row r="76" spans="1:14" ht="22.5" customHeight="1">
      <c r="A76" s="389">
        <f>MAX($A$7:A75)+1</f>
        <v>30</v>
      </c>
      <c r="B76" s="392" t="s">
        <v>58</v>
      </c>
      <c r="C76" s="393">
        <f>(C77*$F$78*C79/1000)*$M$2</f>
        <v>27903.05732666664</v>
      </c>
      <c r="D76" s="393">
        <f t="shared" ref="D76:E76" si="80">(D77*$F$78*D79/1000)*$M$2</f>
        <v>27903.05732666664</v>
      </c>
      <c r="E76" s="393">
        <f t="shared" si="80"/>
        <v>27979.504059068462</v>
      </c>
      <c r="F76" s="393">
        <f>AVERAGE(C76:E76)</f>
        <v>27928.539570800582</v>
      </c>
      <c r="G76" s="393">
        <f>(G77*$J$78*G79/1000)*$M$2</f>
        <v>27268.896932878753</v>
      </c>
      <c r="H76" s="393">
        <f>(H77*$J$78*H79/1000)*$M$2</f>
        <v>27268.896932878753</v>
      </c>
      <c r="I76" s="393">
        <f>(I77*$J$78*I79/1000)*$M$2</f>
        <v>27343.606239544177</v>
      </c>
      <c r="J76" s="393">
        <f>(J77*$J$78*J79/1000)*$M$2</f>
        <v>27293.800035100565</v>
      </c>
      <c r="K76" s="394">
        <f t="shared" si="73"/>
        <v>-2.2727272727272818E-2</v>
      </c>
      <c r="L76" s="282"/>
      <c r="M76" s="467" t="s">
        <v>417</v>
      </c>
      <c r="N76" s="399"/>
    </row>
    <row r="77" spans="1:14" s="477" customFormat="1" ht="14.25" hidden="1" customHeight="1" outlineLevel="1">
      <c r="A77" s="476"/>
      <c r="B77" s="472" t="s">
        <v>391</v>
      </c>
      <c r="C77" s="510">
        <f>G77</f>
        <v>7239.273901688106</v>
      </c>
      <c r="D77" s="510">
        <f t="shared" ref="D77" si="81">H77</f>
        <v>7239.273901688106</v>
      </c>
      <c r="E77" s="510">
        <f t="shared" ref="E77" si="82">I77</f>
        <v>7239.273901688106</v>
      </c>
      <c r="F77" s="510">
        <f>AVERAGE(G77:I77)</f>
        <v>7239.273901688106</v>
      </c>
      <c r="G77" s="473">
        <f>'T-8.4'!$E$31</f>
        <v>7239.273901688106</v>
      </c>
      <c r="H77" s="473">
        <f>'T-8.4'!$E$31</f>
        <v>7239.273901688106</v>
      </c>
      <c r="I77" s="473">
        <f>'T-8.4'!$E$31</f>
        <v>7239.273901688106</v>
      </c>
      <c r="J77" s="510">
        <f>AVERAGE(G77:I77)</f>
        <v>7239.273901688106</v>
      </c>
      <c r="K77" s="475"/>
      <c r="M77" s="478"/>
      <c r="N77" s="478"/>
    </row>
    <row r="78" spans="1:14" s="477" customFormat="1" ht="14.25" hidden="1" customHeight="1" outlineLevel="1">
      <c r="A78" s="476"/>
      <c r="B78" s="472" t="s">
        <v>392</v>
      </c>
      <c r="C78" s="512"/>
      <c r="D78" s="512"/>
      <c r="E78" s="513"/>
      <c r="F78" s="481">
        <f>'T-8.3'!$D$6</f>
        <v>0.44</v>
      </c>
      <c r="G78" s="512"/>
      <c r="H78" s="512"/>
      <c r="I78" s="512"/>
      <c r="J78" s="481">
        <f>'T-8.3'!$E$6</f>
        <v>0.43</v>
      </c>
      <c r="K78" s="475"/>
      <c r="M78" s="478"/>
      <c r="N78" s="478"/>
    </row>
    <row r="79" spans="1:14" s="477" customFormat="1" ht="14.25" hidden="1" customHeight="1" outlineLevel="1">
      <c r="A79" s="476"/>
      <c r="B79" s="472" t="s">
        <v>422</v>
      </c>
      <c r="C79" s="510">
        <f>G79</f>
        <v>8760</v>
      </c>
      <c r="D79" s="510">
        <f t="shared" ref="D79" si="83">H79</f>
        <v>8760</v>
      </c>
      <c r="E79" s="510">
        <f t="shared" ref="E79" si="84">I79</f>
        <v>8784</v>
      </c>
      <c r="F79" s="510">
        <f>AVERAGE(G79:I79)</f>
        <v>8768</v>
      </c>
      <c r="G79" s="503">
        <v>8760</v>
      </c>
      <c r="H79" s="503">
        <v>8760</v>
      </c>
      <c r="I79" s="503">
        <v>8784</v>
      </c>
      <c r="J79" s="510">
        <f>AVERAGE(G79:I79)</f>
        <v>8768</v>
      </c>
      <c r="K79" s="475"/>
      <c r="M79" s="478"/>
      <c r="N79" s="478"/>
    </row>
    <row r="80" spans="1:14" ht="22.5" customHeight="1" collapsed="1">
      <c r="A80" s="389">
        <f>MAX($A$7:A76)+1</f>
        <v>31</v>
      </c>
      <c r="B80" s="392" t="s">
        <v>385</v>
      </c>
      <c r="C80" s="393">
        <f>((($F$82+$F$83)*C81*12)+(($F$85+$F$86)*C84*12))*$M$2</f>
        <v>38969.63559651492</v>
      </c>
      <c r="D80" s="393">
        <f>((($F$82+$F$83)*D81*12)+(($F$85+$F$86)*D84*12))*$M$2</f>
        <v>38969.63559651492</v>
      </c>
      <c r="E80" s="393">
        <f>((($F$82+$F$83)*E81*12)+(($F$85+$F$86)*E84*12))*$M$2</f>
        <v>38969.63559651492</v>
      </c>
      <c r="F80" s="393">
        <f>AVERAGE(C80:E80)</f>
        <v>38969.63559651492</v>
      </c>
      <c r="G80" s="393">
        <f>((($J$82+$J$83)*G81*12)+(($J$85+$J$86)*G84*12))*$M$2</f>
        <v>46616.179140544402</v>
      </c>
      <c r="H80" s="393">
        <f>((($J$82+$J$83)*H81*12)+(($J$85+$J$86)*H84*12))*$M$2</f>
        <v>46616.179140544402</v>
      </c>
      <c r="I80" s="393">
        <f>((($J$82+$J$83)*I81*12)+(($J$85+$J$86)*I84*12))*$M$2</f>
        <v>46616.179140544402</v>
      </c>
      <c r="J80" s="393">
        <f>((($J$82+$J$83)*J81*12)+(($J$85+$J$86)*J84*12))*$M$2</f>
        <v>46616.179140544402</v>
      </c>
      <c r="K80" s="394">
        <f>IF(F80=0,0,(J80/F80)-1)</f>
        <v>0.19621798939052226</v>
      </c>
      <c r="L80" s="496"/>
      <c r="M80" s="467" t="s">
        <v>417</v>
      </c>
      <c r="N80" s="399"/>
    </row>
    <row r="81" spans="1:14" s="477" customFormat="1" ht="14.25" hidden="1" customHeight="1" outlineLevel="1">
      <c r="A81" s="476"/>
      <c r="B81" s="472" t="s">
        <v>415</v>
      </c>
      <c r="C81" s="510">
        <f>G81</f>
        <v>3392.5644506517692</v>
      </c>
      <c r="D81" s="510">
        <f t="shared" ref="D81" si="85">H81</f>
        <v>3392.5644506517692</v>
      </c>
      <c r="E81" s="510">
        <f t="shared" ref="E81" si="86">I81</f>
        <v>3392.5644506517692</v>
      </c>
      <c r="F81" s="510">
        <f>AVERAGE(G81:I81)</f>
        <v>3392.5644506517692</v>
      </c>
      <c r="G81" s="473">
        <f>'T-8.4'!E41</f>
        <v>3392.5644506517692</v>
      </c>
      <c r="H81" s="473">
        <f>'T-8.4'!E41</f>
        <v>3392.5644506517692</v>
      </c>
      <c r="I81" s="473">
        <f>'T-8.4'!E41</f>
        <v>3392.5644506517692</v>
      </c>
      <c r="J81" s="510">
        <f>AVERAGE(G81:I81)</f>
        <v>3392.5644506517692</v>
      </c>
      <c r="K81" s="475"/>
      <c r="M81" s="478"/>
      <c r="N81" s="478"/>
    </row>
    <row r="82" spans="1:14" s="477" customFormat="1" ht="14.25" hidden="1" customHeight="1" outlineLevel="1">
      <c r="A82" s="476"/>
      <c r="B82" s="472" t="s">
        <v>411</v>
      </c>
      <c r="C82" s="511"/>
      <c r="D82" s="511"/>
      <c r="E82" s="513"/>
      <c r="F82" s="474">
        <f>'T-8.3'!D16</f>
        <v>0.35799999999999998</v>
      </c>
      <c r="G82" s="511"/>
      <c r="H82" s="511"/>
      <c r="I82" s="511"/>
      <c r="J82" s="474">
        <f>'T-8.3'!E16</f>
        <v>0.43</v>
      </c>
      <c r="K82" s="475"/>
      <c r="M82" s="478"/>
      <c r="N82" s="478"/>
    </row>
    <row r="83" spans="1:14" s="477" customFormat="1" ht="14.25" hidden="1" customHeight="1" outlineLevel="1">
      <c r="A83" s="476"/>
      <c r="B83" s="472" t="s">
        <v>412</v>
      </c>
      <c r="C83" s="511"/>
      <c r="D83" s="511"/>
      <c r="E83" s="513"/>
      <c r="F83" s="474">
        <f>'T-8.3'!D17</f>
        <v>0.39500000000000002</v>
      </c>
      <c r="G83" s="511"/>
      <c r="H83" s="511"/>
      <c r="I83" s="511"/>
      <c r="J83" s="474">
        <f>'T-8.3'!E17</f>
        <v>0.2</v>
      </c>
      <c r="K83" s="475"/>
      <c r="M83" s="478"/>
      <c r="N83" s="478"/>
    </row>
    <row r="84" spans="1:14" s="477" customFormat="1" ht="14.25" hidden="1" customHeight="1" outlineLevel="1">
      <c r="A84" s="476"/>
      <c r="B84" s="472" t="s">
        <v>416</v>
      </c>
      <c r="C84" s="510">
        <f>G84</f>
        <v>1519.4486879432623</v>
      </c>
      <c r="D84" s="510">
        <f t="shared" ref="D84" si="87">H84</f>
        <v>1519.4486879432623</v>
      </c>
      <c r="E84" s="510">
        <f t="shared" ref="E84" si="88">I84</f>
        <v>1519.4486879432623</v>
      </c>
      <c r="F84" s="510">
        <f>AVERAGE(G84:I84)</f>
        <v>1519.4486879432623</v>
      </c>
      <c r="G84" s="473">
        <f>'T-8.4'!E47</f>
        <v>1519.4486879432623</v>
      </c>
      <c r="H84" s="473">
        <f>'T-8.4'!E47</f>
        <v>1519.4486879432623</v>
      </c>
      <c r="I84" s="473">
        <f>'T-8.4'!E47</f>
        <v>1519.4486879432623</v>
      </c>
      <c r="J84" s="510">
        <f>AVERAGE(G84:I84)</f>
        <v>1519.4486879432623</v>
      </c>
      <c r="K84" s="475"/>
      <c r="M84" s="478"/>
      <c r="N84" s="478"/>
    </row>
    <row r="85" spans="1:14" s="477" customFormat="1" ht="14.25" hidden="1" customHeight="1" outlineLevel="1">
      <c r="A85" s="476"/>
      <c r="B85" s="472" t="s">
        <v>413</v>
      </c>
      <c r="C85" s="511"/>
      <c r="D85" s="511"/>
      <c r="E85" s="513"/>
      <c r="F85" s="474">
        <f>'T-8.3'!D18</f>
        <v>0.28199999999999997</v>
      </c>
      <c r="G85" s="511"/>
      <c r="H85" s="511"/>
      <c r="I85" s="511"/>
      <c r="J85" s="474">
        <f>'T-8.3'!E18</f>
        <v>1.04</v>
      </c>
      <c r="K85" s="475"/>
      <c r="M85" s="478"/>
      <c r="N85" s="478"/>
    </row>
    <row r="86" spans="1:14" s="477" customFormat="1" ht="14.25" hidden="1" customHeight="1" outlineLevel="1">
      <c r="A86" s="476"/>
      <c r="B86" s="472" t="s">
        <v>414</v>
      </c>
      <c r="C86" s="511"/>
      <c r="D86" s="511"/>
      <c r="E86" s="513"/>
      <c r="F86" s="474">
        <f>'T-8.3'!D19</f>
        <v>0.17399999999999999</v>
      </c>
      <c r="G86" s="511"/>
      <c r="H86" s="511"/>
      <c r="I86" s="511"/>
      <c r="J86" s="474">
        <f>'T-8.3'!E19</f>
        <v>0.11</v>
      </c>
      <c r="K86" s="475"/>
      <c r="M86" s="478"/>
      <c r="N86" s="478"/>
    </row>
    <row r="87" spans="1:14" ht="15" customHeight="1" collapsed="1">
      <c r="A87" s="389">
        <f>MAX($A$7:A86)+1</f>
        <v>32</v>
      </c>
      <c r="B87" s="392" t="s">
        <v>260</v>
      </c>
      <c r="C87" s="393">
        <f>((C88*$F$89*12)+(C90*$F$91*12))/1000*$M$2</f>
        <v>805.81405200000006</v>
      </c>
      <c r="D87" s="393">
        <f t="shared" ref="D87:E87" si="89">((D88*$F$89*12)+(D90*$F$91*12))/1000*$M$2</f>
        <v>805.81405200000006</v>
      </c>
      <c r="E87" s="393">
        <f t="shared" si="89"/>
        <v>805.81405200000006</v>
      </c>
      <c r="F87" s="393">
        <f>AVERAGE(C87:E87)</f>
        <v>805.81405200000006</v>
      </c>
      <c r="G87" s="393">
        <f>((G88*$J$89*12)+(G90*$J$91*12))/1000*$M$2</f>
        <v>1516.4074800000001</v>
      </c>
      <c r="H87" s="393">
        <f>((H88*$J$89*12)+(H90*$J$91*12))/1000*$M$2</f>
        <v>1516.4074800000001</v>
      </c>
      <c r="I87" s="393">
        <f>((I88*$J$89*12)+(I90*$J$91*12))/1000*$M$2</f>
        <v>1516.4074800000001</v>
      </c>
      <c r="J87" s="393">
        <f>((J88*$J$89*12)+(J90*$J$91*12))/1000*$M$2</f>
        <v>1516.4074800000001</v>
      </c>
      <c r="K87" s="394">
        <f>IF(F87=0,0,(J87/F87)-1)</f>
        <v>0.8818330063075146</v>
      </c>
      <c r="L87" s="164"/>
      <c r="M87" s="467" t="s">
        <v>417</v>
      </c>
      <c r="N87" s="399"/>
    </row>
    <row r="88" spans="1:14" ht="15" hidden="1" customHeight="1" outlineLevel="1">
      <c r="A88" s="389"/>
      <c r="B88" s="472" t="s">
        <v>418</v>
      </c>
      <c r="C88" s="510">
        <f>G88</f>
        <v>3037</v>
      </c>
      <c r="D88" s="510">
        <f t="shared" ref="D88" si="90">H88</f>
        <v>3037</v>
      </c>
      <c r="E88" s="510">
        <f t="shared" ref="E88" si="91">I88</f>
        <v>3037</v>
      </c>
      <c r="F88" s="510">
        <f>AVERAGE(G88:I88)</f>
        <v>3037</v>
      </c>
      <c r="G88" s="473">
        <f>'T-8.4'!E36</f>
        <v>3037</v>
      </c>
      <c r="H88" s="473">
        <f>'T-8.4'!E36</f>
        <v>3037</v>
      </c>
      <c r="I88" s="473">
        <f>'T-8.4'!E36</f>
        <v>3037</v>
      </c>
      <c r="J88" s="510">
        <f>AVERAGE(G88:I88)</f>
        <v>3037</v>
      </c>
      <c r="K88" s="394"/>
      <c r="L88" s="282"/>
      <c r="M88" s="282"/>
      <c r="N88" s="399"/>
    </row>
    <row r="89" spans="1:14" ht="15" hidden="1" customHeight="1" outlineLevel="1">
      <c r="A89" s="389"/>
      <c r="B89" s="472" t="s">
        <v>419</v>
      </c>
      <c r="C89" s="512"/>
      <c r="D89" s="512"/>
      <c r="E89" s="517"/>
      <c r="F89" s="481">
        <f>'T-8.3'!D13</f>
        <v>21.303000000000001</v>
      </c>
      <c r="G89" s="512"/>
      <c r="H89" s="512"/>
      <c r="I89" s="512"/>
      <c r="J89" s="481">
        <f>'T-8.3'!E13</f>
        <v>40.71</v>
      </c>
      <c r="K89" s="394"/>
      <c r="L89" s="282"/>
      <c r="M89" s="282"/>
      <c r="N89" s="399"/>
    </row>
    <row r="90" spans="1:14" ht="15" hidden="1" customHeight="1" outlineLevel="1">
      <c r="A90" s="389"/>
      <c r="B90" s="472" t="s">
        <v>420</v>
      </c>
      <c r="C90" s="510">
        <f>G90</f>
        <v>1979</v>
      </c>
      <c r="D90" s="510">
        <f t="shared" ref="D90" si="92">H90</f>
        <v>1979</v>
      </c>
      <c r="E90" s="510">
        <f t="shared" ref="E90" si="93">I90</f>
        <v>1979</v>
      </c>
      <c r="F90" s="510">
        <f>AVERAGE(G90:I90)</f>
        <v>1979</v>
      </c>
      <c r="G90" s="473">
        <f>'T-8.4'!E37</f>
        <v>1979</v>
      </c>
      <c r="H90" s="473">
        <f>'T-8.4'!E37</f>
        <v>1979</v>
      </c>
      <c r="I90" s="473">
        <f>'T-8.4'!E37</f>
        <v>1979</v>
      </c>
      <c r="J90" s="510">
        <f>AVERAGE(G90:I90)</f>
        <v>1979</v>
      </c>
      <c r="K90" s="394"/>
      <c r="L90" s="282"/>
      <c r="M90" s="282"/>
      <c r="N90" s="399"/>
    </row>
    <row r="91" spans="1:14" ht="15" hidden="1" customHeight="1" outlineLevel="1">
      <c r="A91" s="389"/>
      <c r="B91" s="472" t="s">
        <v>421</v>
      </c>
      <c r="C91" s="512"/>
      <c r="D91" s="512"/>
      <c r="E91" s="517"/>
      <c r="F91" s="481">
        <f>'T-8.3'!D14</f>
        <v>1.24</v>
      </c>
      <c r="G91" s="512"/>
      <c r="H91" s="512"/>
      <c r="I91" s="512"/>
      <c r="J91" s="481">
        <f>'T-8.3'!E14</f>
        <v>1.38</v>
      </c>
      <c r="K91" s="394"/>
      <c r="L91" s="282"/>
      <c r="M91" s="282"/>
      <c r="N91" s="399"/>
    </row>
    <row r="92" spans="1:14" ht="15" customHeight="1" collapsed="1">
      <c r="A92" s="389"/>
      <c r="B92" s="396" t="s">
        <v>384</v>
      </c>
      <c r="C92" s="491">
        <f t="shared" ref="C92:J92" si="94">C80+C87</f>
        <v>39775.449648514921</v>
      </c>
      <c r="D92" s="491">
        <f t="shared" si="94"/>
        <v>39775.449648514921</v>
      </c>
      <c r="E92" s="491">
        <f t="shared" si="94"/>
        <v>39775.449648514921</v>
      </c>
      <c r="F92" s="491">
        <f t="shared" si="94"/>
        <v>39775.449648514921</v>
      </c>
      <c r="G92" s="491">
        <f t="shared" si="94"/>
        <v>48132.586620544404</v>
      </c>
      <c r="H92" s="491">
        <f t="shared" si="94"/>
        <v>48132.586620544404</v>
      </c>
      <c r="I92" s="491">
        <f t="shared" si="94"/>
        <v>48132.586620544404</v>
      </c>
      <c r="J92" s="491">
        <f t="shared" si="94"/>
        <v>48132.586620544404</v>
      </c>
      <c r="K92" s="390">
        <f>IF(F92=0,0,(J92/F92)-1)</f>
        <v>0.21010791947996266</v>
      </c>
      <c r="L92" s="282"/>
      <c r="M92" s="282"/>
      <c r="N92" s="399"/>
    </row>
    <row r="93" spans="1:14" ht="22.5" customHeight="1">
      <c r="A93" s="389">
        <f>MAX($A$7:A92)+1</f>
        <v>33</v>
      </c>
      <c r="B93" s="392" t="s">
        <v>105</v>
      </c>
      <c r="C93" s="393">
        <f>(C94*$F$95*C96/1000)*$M$2</f>
        <v>24572.998923333304</v>
      </c>
      <c r="D93" s="393">
        <f>(D94*$F$95*D96/1000)*$M$2</f>
        <v>24572.998923333304</v>
      </c>
      <c r="E93" s="393">
        <f>(E94*$F$95*E96/1000)*$M$2</f>
        <v>24640.322208054764</v>
      </c>
      <c r="F93" s="393">
        <f>AVERAGE(C93:E93)</f>
        <v>24595.440018240461</v>
      </c>
      <c r="G93" s="393">
        <f>(G94*$J$95*G96/1000)*$M$2</f>
        <v>29220.742611094989</v>
      </c>
      <c r="H93" s="393">
        <f>(H94*$J$95*H96/1000)*$M$2</f>
        <v>29220.742611094989</v>
      </c>
      <c r="I93" s="393">
        <f>(I94*$J$95*I96/1000)*$M$2</f>
        <v>29300.79944016648</v>
      </c>
      <c r="J93" s="393">
        <f>(J94*$J$95*J96/1000)*$M$2</f>
        <v>29247.428220785485</v>
      </c>
      <c r="K93" s="394">
        <f>IF(F93=0,0,(J93/F93)-1)</f>
        <v>0.18914027149321244</v>
      </c>
      <c r="L93" s="282"/>
      <c r="M93" s="467" t="s">
        <v>417</v>
      </c>
      <c r="N93" s="284"/>
    </row>
    <row r="94" spans="1:14" s="477" customFormat="1" ht="14.25" hidden="1" customHeight="1" outlineLevel="1">
      <c r="A94" s="476"/>
      <c r="B94" s="472" t="s">
        <v>391</v>
      </c>
      <c r="C94" s="510">
        <f>G94</f>
        <v>253.85853967368439</v>
      </c>
      <c r="D94" s="510">
        <f t="shared" ref="D94" si="95">H94</f>
        <v>253.85853967368439</v>
      </c>
      <c r="E94" s="510">
        <f t="shared" ref="E94" si="96">I94</f>
        <v>253.85853967368439</v>
      </c>
      <c r="F94" s="510">
        <f>AVERAGE(G94:I94)</f>
        <v>253.85853967368439</v>
      </c>
      <c r="G94" s="473">
        <f>'T-8.4'!E24</f>
        <v>253.85853967368439</v>
      </c>
      <c r="H94" s="473">
        <f>'T-8.4'!E24</f>
        <v>253.85853967368439</v>
      </c>
      <c r="I94" s="473">
        <f>'T-8.4'!E24</f>
        <v>253.85853967368439</v>
      </c>
      <c r="J94" s="510">
        <f>AVERAGE(G94:I94)</f>
        <v>253.85853967368439</v>
      </c>
      <c r="K94" s="475"/>
      <c r="M94" s="478"/>
      <c r="N94" s="478"/>
    </row>
    <row r="95" spans="1:14" s="477" customFormat="1" ht="14.25" hidden="1" customHeight="1" outlineLevel="1">
      <c r="A95" s="476"/>
      <c r="B95" s="472" t="s">
        <v>392</v>
      </c>
      <c r="C95" s="512"/>
      <c r="D95" s="512"/>
      <c r="E95" s="513"/>
      <c r="F95" s="481">
        <f>'T-8.3'!D8</f>
        <v>11.05</v>
      </c>
      <c r="G95" s="512"/>
      <c r="H95" s="512"/>
      <c r="I95" s="512"/>
      <c r="J95" s="481">
        <f>'T-8.3'!E8</f>
        <v>13.14</v>
      </c>
      <c r="K95" s="475"/>
      <c r="M95" s="478"/>
      <c r="N95" s="478"/>
    </row>
    <row r="96" spans="1:14" s="477" customFormat="1" ht="14.25" hidden="1" customHeight="1" outlineLevel="1">
      <c r="A96" s="476"/>
      <c r="B96" s="472" t="s">
        <v>422</v>
      </c>
      <c r="C96" s="510">
        <f>G96</f>
        <v>8760</v>
      </c>
      <c r="D96" s="510">
        <f t="shared" ref="D96" si="97">H96</f>
        <v>8760</v>
      </c>
      <c r="E96" s="510">
        <f t="shared" ref="E96" si="98">I96</f>
        <v>8784</v>
      </c>
      <c r="F96" s="510">
        <f>AVERAGE(G96:I96)</f>
        <v>8768</v>
      </c>
      <c r="G96" s="503">
        <v>8760</v>
      </c>
      <c r="H96" s="503">
        <v>8760</v>
      </c>
      <c r="I96" s="503">
        <v>8784</v>
      </c>
      <c r="J96" s="510">
        <f>AVERAGE(G96:I96)</f>
        <v>8768</v>
      </c>
      <c r="K96" s="475"/>
      <c r="M96" s="478"/>
      <c r="N96" s="478"/>
    </row>
    <row r="97" spans="1:14" ht="15" customHeight="1" collapsed="1">
      <c r="A97" s="389">
        <f>MAX($A$7:A93)+1</f>
        <v>34</v>
      </c>
      <c r="B97" s="392" t="s">
        <v>106</v>
      </c>
      <c r="C97" s="393">
        <f>(C98*$F$99*C100/1000)*$M$2</f>
        <v>16055.842319999983</v>
      </c>
      <c r="D97" s="393">
        <f>(D98*$F$99*D100/1000)*$M$2</f>
        <v>16055.842319999983</v>
      </c>
      <c r="E97" s="393">
        <f>(E98*$F$99*E100/1000)*$M$2</f>
        <v>16099.830929095873</v>
      </c>
      <c r="F97" s="393">
        <f>AVERAGE(C97:E97)</f>
        <v>16070.505189698613</v>
      </c>
      <c r="G97" s="393">
        <f>(G98*$J$99*G100/1000)*$M$2</f>
        <v>15010.655908587243</v>
      </c>
      <c r="H97" s="393">
        <f>(H98*$J$99*H100/1000)*$M$2</f>
        <v>15010.655908587243</v>
      </c>
      <c r="I97" s="393">
        <f>(I98*$J$99*I100/1000)*$M$2</f>
        <v>15051.780993268305</v>
      </c>
      <c r="J97" s="393">
        <f>(J98*$J$99*J100/1000)*$M$2</f>
        <v>15024.364270147598</v>
      </c>
      <c r="K97" s="394">
        <f>IF(F97=0,0,(J97/F97)-1)</f>
        <v>-6.509695290858708E-2</v>
      </c>
      <c r="L97" s="282"/>
      <c r="M97" s="467" t="s">
        <v>417</v>
      </c>
      <c r="N97" s="284"/>
    </row>
    <row r="98" spans="1:14" s="477" customFormat="1" ht="14.25" hidden="1" customHeight="1" outlineLevel="1">
      <c r="A98" s="476"/>
      <c r="B98" s="472" t="s">
        <v>391</v>
      </c>
      <c r="C98" s="510">
        <f>G98</f>
        <v>253.85854741395642</v>
      </c>
      <c r="D98" s="510">
        <f t="shared" ref="D98" si="99">H98</f>
        <v>253.85854741395642</v>
      </c>
      <c r="E98" s="510">
        <f t="shared" ref="E98" si="100">I98</f>
        <v>253.85854741395642</v>
      </c>
      <c r="F98" s="510">
        <f>AVERAGE(G98:I98)</f>
        <v>253.85854741395642</v>
      </c>
      <c r="G98" s="473">
        <f>'T-8.4'!E25</f>
        <v>253.85854741395642</v>
      </c>
      <c r="H98" s="473">
        <f>'T-8.4'!E25</f>
        <v>253.85854741395642</v>
      </c>
      <c r="I98" s="473">
        <f>'T-8.4'!E25</f>
        <v>253.85854741395642</v>
      </c>
      <c r="J98" s="510">
        <f>AVERAGE(G98:I98)</f>
        <v>253.85854741395642</v>
      </c>
      <c r="K98" s="475"/>
      <c r="M98" s="478"/>
      <c r="N98" s="478"/>
    </row>
    <row r="99" spans="1:14" s="477" customFormat="1" ht="14.25" hidden="1" customHeight="1" outlineLevel="1">
      <c r="A99" s="476"/>
      <c r="B99" s="472" t="s">
        <v>392</v>
      </c>
      <c r="C99" s="512"/>
      <c r="D99" s="512"/>
      <c r="E99" s="513"/>
      <c r="F99" s="481">
        <f>'T-8.3'!D10</f>
        <v>7.22</v>
      </c>
      <c r="G99" s="512"/>
      <c r="H99" s="512"/>
      <c r="I99" s="512"/>
      <c r="J99" s="481">
        <f>'T-8.3'!E10</f>
        <v>6.75</v>
      </c>
      <c r="K99" s="475"/>
      <c r="M99" s="478"/>
      <c r="N99" s="478"/>
    </row>
    <row r="100" spans="1:14" s="477" customFormat="1" ht="14.25" hidden="1" customHeight="1" outlineLevel="1">
      <c r="A100" s="476"/>
      <c r="B100" s="472" t="s">
        <v>422</v>
      </c>
      <c r="C100" s="510">
        <f>G100</f>
        <v>8760</v>
      </c>
      <c r="D100" s="510">
        <f t="shared" ref="D100" si="101">H100</f>
        <v>8760</v>
      </c>
      <c r="E100" s="510">
        <f t="shared" ref="E100" si="102">I100</f>
        <v>8784</v>
      </c>
      <c r="F100" s="510">
        <f>AVERAGE(G100:I100)</f>
        <v>8768</v>
      </c>
      <c r="G100" s="503">
        <v>8760</v>
      </c>
      <c r="H100" s="503">
        <v>8760</v>
      </c>
      <c r="I100" s="503">
        <v>8784</v>
      </c>
      <c r="J100" s="510">
        <f>AVERAGE(G100:I100)</f>
        <v>8768</v>
      </c>
      <c r="K100" s="475"/>
      <c r="M100" s="478"/>
      <c r="N100" s="478"/>
    </row>
    <row r="101" spans="1:14" ht="15" customHeight="1" collapsed="1">
      <c r="A101" s="389">
        <f>MAX($A$7:A97)+1</f>
        <v>35</v>
      </c>
      <c r="B101" s="392" t="s">
        <v>39</v>
      </c>
      <c r="C101" s="393">
        <v>0</v>
      </c>
      <c r="D101" s="393">
        <v>0</v>
      </c>
      <c r="E101" s="393">
        <v>0</v>
      </c>
      <c r="F101" s="393">
        <v>0</v>
      </c>
      <c r="G101" s="393">
        <v>0</v>
      </c>
      <c r="H101" s="393">
        <v>0</v>
      </c>
      <c r="I101" s="393">
        <v>0</v>
      </c>
      <c r="J101" s="393">
        <v>0</v>
      </c>
      <c r="K101" s="394">
        <f>IF(F101=0,0,(J101/F101)-1)</f>
        <v>0</v>
      </c>
      <c r="L101" s="282"/>
      <c r="M101" s="282"/>
    </row>
    <row r="102" spans="1:14" ht="15" customHeight="1">
      <c r="A102" s="389">
        <f>MAX($A$7:A101)+1</f>
        <v>36</v>
      </c>
      <c r="B102" s="392" t="s">
        <v>115</v>
      </c>
      <c r="C102" s="397">
        <v>0</v>
      </c>
      <c r="D102" s="397">
        <v>0</v>
      </c>
      <c r="E102" s="397">
        <v>0</v>
      </c>
      <c r="F102" s="397">
        <v>0</v>
      </c>
      <c r="G102" s="397">
        <v>0</v>
      </c>
      <c r="H102" s="397">
        <v>0</v>
      </c>
      <c r="I102" s="397">
        <v>0</v>
      </c>
      <c r="J102" s="397">
        <v>0</v>
      </c>
      <c r="K102" s="394">
        <f>IF(F102=0,0,(J102/F102)-1)</f>
        <v>0</v>
      </c>
      <c r="L102" s="282"/>
      <c r="M102" s="282"/>
    </row>
    <row r="103" spans="1:14" ht="15" customHeight="1">
      <c r="A103" s="389">
        <f>MAX($A$7:A102)+1</f>
        <v>37</v>
      </c>
      <c r="B103" s="415" t="s">
        <v>116</v>
      </c>
      <c r="C103" s="398">
        <f t="shared" ref="C103:J103" si="103">C75+C76+C92+C93+C97+C101+C102</f>
        <v>307082.83419272187</v>
      </c>
      <c r="D103" s="398">
        <f t="shared" si="103"/>
        <v>312012.97234473558</v>
      </c>
      <c r="E103" s="398">
        <f t="shared" si="103"/>
        <v>320929.42041738634</v>
      </c>
      <c r="F103" s="398">
        <f t="shared" si="103"/>
        <v>313341.74231828126</v>
      </c>
      <c r="G103" s="398">
        <f t="shared" si="103"/>
        <v>362751.13379361504</v>
      </c>
      <c r="H103" s="398">
        <f t="shared" si="103"/>
        <v>368459.44667918445</v>
      </c>
      <c r="I103" s="398">
        <f t="shared" si="103"/>
        <v>379302.9890168471</v>
      </c>
      <c r="J103" s="398">
        <f t="shared" si="103"/>
        <v>370171.18982988206</v>
      </c>
      <c r="K103" s="390">
        <f>IF(F103=0,0,(J103/F103)-1)</f>
        <v>0.18136570981939415</v>
      </c>
      <c r="L103" s="282"/>
      <c r="M103" s="282"/>
    </row>
    <row r="104" spans="1:14" ht="15" customHeight="1">
      <c r="A104" s="389">
        <f>MAX($A$7:A103)+1</f>
        <v>38</v>
      </c>
      <c r="B104" s="396" t="s">
        <v>117</v>
      </c>
      <c r="C104" s="393">
        <f t="shared" ref="C104:J104" si="104">C103-C75</f>
        <v>108307.34821851488</v>
      </c>
      <c r="D104" s="393">
        <f t="shared" si="104"/>
        <v>108307.34821851488</v>
      </c>
      <c r="E104" s="393">
        <f t="shared" si="104"/>
        <v>108495.10684473402</v>
      </c>
      <c r="F104" s="393">
        <f t="shared" si="104"/>
        <v>108369.93442725457</v>
      </c>
      <c r="G104" s="393">
        <f t="shared" si="104"/>
        <v>119632.88207310537</v>
      </c>
      <c r="H104" s="393">
        <f t="shared" si="104"/>
        <v>119632.88207310543</v>
      </c>
      <c r="I104" s="393">
        <f t="shared" si="104"/>
        <v>119828.77329352335</v>
      </c>
      <c r="J104" s="393">
        <f t="shared" si="104"/>
        <v>119698.17914657795</v>
      </c>
      <c r="K104" s="394">
        <f>IF(F104=0,0,(J104/F104)-1)</f>
        <v>0.10453309563389723</v>
      </c>
      <c r="L104" s="282"/>
      <c r="M104" s="282"/>
    </row>
    <row r="105" spans="1:14" s="477" customFormat="1" ht="12" hidden="1" outlineLevel="1">
      <c r="A105" s="476"/>
      <c r="B105" s="472" t="s">
        <v>391</v>
      </c>
      <c r="C105" s="510" t="e">
        <f>G105</f>
        <v>#REF!</v>
      </c>
      <c r="D105" s="510" t="e">
        <f t="shared" ref="D105" si="105">H105</f>
        <v>#REF!</v>
      </c>
      <c r="E105" s="510" t="e">
        <f t="shared" ref="E105" si="106">I105</f>
        <v>#REF!</v>
      </c>
      <c r="F105" s="510" t="e">
        <f>AVERAGE(G105:I105)</f>
        <v>#REF!</v>
      </c>
      <c r="G105" s="473" t="e">
        <f>#REF!</f>
        <v>#REF!</v>
      </c>
      <c r="H105" s="473" t="e">
        <f>#REF!</f>
        <v>#REF!</v>
      </c>
      <c r="I105" s="473" t="e">
        <f>#REF!</f>
        <v>#REF!</v>
      </c>
      <c r="J105" s="510" t="e">
        <f>AVERAGE(G105:I105)</f>
        <v>#REF!</v>
      </c>
      <c r="K105" s="475"/>
      <c r="M105" s="478"/>
      <c r="N105" s="479"/>
    </row>
    <row r="106" spans="1:14" s="477" customFormat="1" ht="12" hidden="1" outlineLevel="1">
      <c r="A106" s="476"/>
      <c r="B106" s="472" t="s">
        <v>392</v>
      </c>
      <c r="C106" s="511"/>
      <c r="D106" s="511"/>
      <c r="E106" s="513"/>
      <c r="F106" s="474" t="e">
        <f>'T-9'!#REF!</f>
        <v>#REF!</v>
      </c>
      <c r="G106" s="511"/>
      <c r="H106" s="511"/>
      <c r="I106" s="513"/>
      <c r="J106" s="474" t="e">
        <f>'T-9'!#REF!</f>
        <v>#REF!</v>
      </c>
      <c r="K106" s="475"/>
      <c r="M106" s="478"/>
      <c r="N106" s="479"/>
    </row>
    <row r="107" spans="1:14" ht="22.5" customHeight="1" collapsed="1">
      <c r="A107" s="389">
        <f>MAX($A$7:A104)+1</f>
        <v>39</v>
      </c>
      <c r="B107" s="406" t="s">
        <v>229</v>
      </c>
      <c r="C107" s="393"/>
      <c r="D107" s="393"/>
      <c r="E107" s="393"/>
      <c r="F107" s="398"/>
      <c r="G107" s="386"/>
      <c r="H107" s="386"/>
      <c r="I107" s="386"/>
      <c r="J107" s="398"/>
      <c r="K107" s="394"/>
      <c r="L107" s="282"/>
      <c r="M107" s="282"/>
    </row>
    <row r="108" spans="1:14" ht="15" customHeight="1">
      <c r="A108" s="389">
        <f>MAX($A$7:A107)+1</f>
        <v>40</v>
      </c>
      <c r="B108" s="410" t="s">
        <v>231</v>
      </c>
      <c r="C108" s="393">
        <f>C109*$F$110/1000</f>
        <v>2420.9878372727244</v>
      </c>
      <c r="D108" s="393">
        <f t="shared" ref="D108:E108" si="107">D109*$F$110/1000</f>
        <v>2537.8315745454515</v>
      </c>
      <c r="E108" s="393">
        <f t="shared" si="107"/>
        <v>2658.3686158655014</v>
      </c>
      <c r="F108" s="393">
        <f>AVERAGE(C108:E108)</f>
        <v>2539.0626758945596</v>
      </c>
      <c r="G108" s="393">
        <f t="shared" ref="G108:I108" si="108">G109*$J$110/1000</f>
        <v>3631.4817559090866</v>
      </c>
      <c r="H108" s="393">
        <f t="shared" si="108"/>
        <v>3806.7473618181771</v>
      </c>
      <c r="I108" s="393">
        <f t="shared" si="108"/>
        <v>3987.5529237982519</v>
      </c>
      <c r="J108" s="393">
        <f>J109*$J$110/1000</f>
        <v>3808.5940138418391</v>
      </c>
      <c r="K108" s="394">
        <f>IF(F108=0,0,(J108/F108)-1)</f>
        <v>0.5</v>
      </c>
      <c r="L108" s="282"/>
      <c r="M108" s="282"/>
    </row>
    <row r="109" spans="1:14" s="477" customFormat="1" ht="12" hidden="1" outlineLevel="1">
      <c r="A109" s="476"/>
      <c r="B109" s="472" t="s">
        <v>391</v>
      </c>
      <c r="C109" s="510">
        <f>G109</f>
        <v>60524695.931818113</v>
      </c>
      <c r="D109" s="510">
        <f t="shared" ref="D109" si="109">H109</f>
        <v>63445789.363636285</v>
      </c>
      <c r="E109" s="510">
        <f t="shared" ref="E109" si="110">I109</f>
        <v>66459215.396637537</v>
      </c>
      <c r="F109" s="510">
        <f>AVERAGE(G109:I109)</f>
        <v>63476566.897363983</v>
      </c>
      <c r="G109" s="473">
        <f>'T-8.2'!F7</f>
        <v>60524695.931818113</v>
      </c>
      <c r="H109" s="473">
        <f>'T-8.2'!F8</f>
        <v>63445789.363636285</v>
      </c>
      <c r="I109" s="473">
        <f>'T-8.2'!F9</f>
        <v>66459215.396637537</v>
      </c>
      <c r="J109" s="510">
        <f>AVERAGE(G109:I109)</f>
        <v>63476566.897363983</v>
      </c>
      <c r="K109" s="475"/>
      <c r="M109" s="478"/>
      <c r="N109" s="479"/>
    </row>
    <row r="110" spans="1:14" s="477" customFormat="1" ht="12" hidden="1" outlineLevel="1">
      <c r="A110" s="476"/>
      <c r="B110" s="472" t="s">
        <v>392</v>
      </c>
      <c r="C110" s="512"/>
      <c r="D110" s="512"/>
      <c r="E110" s="513"/>
      <c r="F110" s="481">
        <f>'T-9'!E27</f>
        <v>0.04</v>
      </c>
      <c r="G110" s="512"/>
      <c r="H110" s="512"/>
      <c r="I110" s="513"/>
      <c r="J110" s="481">
        <f>'T-9'!F27</f>
        <v>0.06</v>
      </c>
      <c r="K110" s="475"/>
      <c r="M110" s="478"/>
      <c r="N110" s="479"/>
    </row>
    <row r="111" spans="1:14" ht="22.5" customHeight="1" collapsed="1">
      <c r="A111" s="389">
        <f>MAX($A$7:A108)+1</f>
        <v>41</v>
      </c>
      <c r="B111" s="406" t="s">
        <v>228</v>
      </c>
      <c r="C111" s="411"/>
      <c r="D111" s="411"/>
      <c r="E111" s="411"/>
      <c r="F111" s="393"/>
      <c r="G111" s="393"/>
      <c r="H111" s="393"/>
      <c r="I111" s="393"/>
      <c r="J111" s="393"/>
      <c r="K111" s="394"/>
      <c r="L111" s="282"/>
      <c r="M111" s="282"/>
    </row>
    <row r="112" spans="1:14" ht="15" customHeight="1">
      <c r="A112" s="389">
        <f>MAX($A$7:A111)+1</f>
        <v>42</v>
      </c>
      <c r="B112" s="410" t="s">
        <v>230</v>
      </c>
      <c r="C112" s="393">
        <f>C113*$F$114/1000</f>
        <v>2420.9878372727244</v>
      </c>
      <c r="D112" s="393">
        <f t="shared" ref="D112:E112" si="111">D113*$F$114/1000</f>
        <v>2537.8315745454515</v>
      </c>
      <c r="E112" s="393">
        <f t="shared" si="111"/>
        <v>2658.3686158655014</v>
      </c>
      <c r="F112" s="393">
        <f>AVERAGE(C112:E112)</f>
        <v>2539.0626758945596</v>
      </c>
      <c r="G112" s="393">
        <f>G113*$J$114/1000</f>
        <v>1815.7408779545433</v>
      </c>
      <c r="H112" s="393">
        <f t="shared" ref="H112:I112" si="112">H113*$J$114/1000</f>
        <v>1903.3736809090885</v>
      </c>
      <c r="I112" s="393">
        <f t="shared" si="112"/>
        <v>1993.7764618991259</v>
      </c>
      <c r="J112" s="393">
        <f>J113*$J$114/1000</f>
        <v>1904.2970069209196</v>
      </c>
      <c r="K112" s="394">
        <f>IF(F112=0,0,(J112/F112)-1)</f>
        <v>-0.25</v>
      </c>
      <c r="L112" s="282"/>
      <c r="M112" s="282"/>
    </row>
    <row r="113" spans="1:14" s="477" customFormat="1" ht="12" hidden="1" outlineLevel="1">
      <c r="A113" s="476"/>
      <c r="B113" s="472" t="s">
        <v>391</v>
      </c>
      <c r="C113" s="510">
        <f>G113</f>
        <v>60524695.931818113</v>
      </c>
      <c r="D113" s="510">
        <f t="shared" ref="D113" si="113">H113</f>
        <v>63445789.363636285</v>
      </c>
      <c r="E113" s="510">
        <f t="shared" ref="E113" si="114">I113</f>
        <v>66459215.396637537</v>
      </c>
      <c r="F113" s="510">
        <f>AVERAGE(G113:I113)</f>
        <v>63476566.897363983</v>
      </c>
      <c r="G113" s="473">
        <f>'T-8.2'!F14</f>
        <v>60524695.931818113</v>
      </c>
      <c r="H113" s="473">
        <f>'T-8.2'!F15</f>
        <v>63445789.363636285</v>
      </c>
      <c r="I113" s="473">
        <f>'T-8.2'!F16</f>
        <v>66459215.396637537</v>
      </c>
      <c r="J113" s="510">
        <f>AVERAGE(G113:I113)</f>
        <v>63476566.897363983</v>
      </c>
      <c r="K113" s="475"/>
      <c r="M113" s="478"/>
      <c r="N113" s="479"/>
    </row>
    <row r="114" spans="1:14" s="477" customFormat="1" ht="12" hidden="1" outlineLevel="1">
      <c r="A114" s="476"/>
      <c r="B114" s="472" t="s">
        <v>392</v>
      </c>
      <c r="C114" s="512"/>
      <c r="D114" s="512"/>
      <c r="E114" s="513"/>
      <c r="F114" s="481">
        <f>'T-9'!E29</f>
        <v>0.04</v>
      </c>
      <c r="G114" s="512"/>
      <c r="H114" s="512"/>
      <c r="I114" s="513"/>
      <c r="J114" s="481">
        <f>'T-9'!F29</f>
        <v>0.03</v>
      </c>
      <c r="K114" s="475"/>
      <c r="M114" s="478"/>
      <c r="N114" s="479"/>
    </row>
    <row r="115" spans="1:14" ht="22.5" customHeight="1" collapsed="1">
      <c r="A115" s="389">
        <f>MAX($A$7:A112)+1</f>
        <v>43</v>
      </c>
      <c r="B115" s="415" t="str">
        <f>IF(M2=1,"General Transmission Rates Subtotal","General Transmission Rates Subtotal NO GEN INPUTS")</f>
        <v>General Transmission Rates Subtotal</v>
      </c>
      <c r="C115" s="398">
        <f>SUM(C40,C69,C104,C108,C112)</f>
        <v>1302822.1692145069</v>
      </c>
      <c r="D115" s="398">
        <f t="shared" ref="D115:J115" si="115">SUM(D40,D69,D104,D108,D112)</f>
        <v>1335378.1883948864</v>
      </c>
      <c r="E115" s="398">
        <f t="shared" si="115"/>
        <v>1401363.6723586365</v>
      </c>
      <c r="F115" s="398">
        <f t="shared" si="115"/>
        <v>1346521.3433226766</v>
      </c>
      <c r="G115" s="398">
        <f t="shared" si="115"/>
        <v>1563333.6887101731</v>
      </c>
      <c r="H115" s="398">
        <f t="shared" si="115"/>
        <v>1601344.878129109</v>
      </c>
      <c r="I115" s="398">
        <f t="shared" si="115"/>
        <v>1679969.3344250373</v>
      </c>
      <c r="J115" s="398">
        <f t="shared" si="115"/>
        <v>1614882.6337547731</v>
      </c>
      <c r="K115" s="454">
        <f>IF(F115=0,0,(J115/F115)-1)</f>
        <v>0.19929969306679385</v>
      </c>
      <c r="L115" s="282"/>
      <c r="M115" s="282"/>
    </row>
    <row r="116" spans="1:14" ht="15" customHeight="1">
      <c r="A116" s="389">
        <f>MAX($A$7:A115)+1</f>
        <v>44</v>
      </c>
      <c r="B116" s="402" t="s">
        <v>118</v>
      </c>
      <c r="C116" s="398">
        <f t="shared" ref="C116:J116" si="116">C115-C104</f>
        <v>1194514.820995992</v>
      </c>
      <c r="D116" s="398">
        <f t="shared" si="116"/>
        <v>1227070.8401763716</v>
      </c>
      <c r="E116" s="398">
        <f t="shared" si="116"/>
        <v>1292868.5655139026</v>
      </c>
      <c r="F116" s="398">
        <f t="shared" si="116"/>
        <v>1238151.408895422</v>
      </c>
      <c r="G116" s="398">
        <f t="shared" si="116"/>
        <v>1443700.8066370678</v>
      </c>
      <c r="H116" s="398">
        <f t="shared" si="116"/>
        <v>1481711.9960560035</v>
      </c>
      <c r="I116" s="398">
        <f t="shared" si="116"/>
        <v>1560140.5611315139</v>
      </c>
      <c r="J116" s="398">
        <f t="shared" si="116"/>
        <v>1495184.454608195</v>
      </c>
      <c r="K116" s="454">
        <f>IF(F116=0,0,(J116/F116)-1)</f>
        <v>0.2075941955613303</v>
      </c>
      <c r="L116" s="282"/>
      <c r="M116" s="282"/>
    </row>
    <row r="117" spans="1:14" ht="22.5" customHeight="1">
      <c r="A117" s="389">
        <f>MAX($A$7:A116)+1</f>
        <v>45</v>
      </c>
      <c r="B117" s="406" t="s">
        <v>114</v>
      </c>
      <c r="C117" s="393"/>
      <c r="D117" s="393"/>
      <c r="E117" s="393"/>
      <c r="F117" s="398"/>
      <c r="G117" s="386"/>
      <c r="H117" s="393"/>
      <c r="I117" s="393"/>
      <c r="J117" s="398"/>
      <c r="K117" s="390"/>
      <c r="L117" s="412"/>
      <c r="M117" s="464"/>
      <c r="N117" s="391"/>
    </row>
    <row r="118" spans="1:14" ht="15" customHeight="1">
      <c r="A118" s="389">
        <f>MAX($A$7:A117)+1</f>
        <v>46</v>
      </c>
      <c r="B118" s="392" t="str">
        <f>'T-2'!B6</f>
        <v>3RD AC RAS GENERATION DROPPING</v>
      </c>
      <c r="C118" s="470">
        <f>'T-2'!D6</f>
        <v>76.572000000000003</v>
      </c>
      <c r="D118" s="470">
        <f>'T-2'!E6</f>
        <v>76.572000000000003</v>
      </c>
      <c r="E118" s="470">
        <f>'T-2'!F6</f>
        <v>76.572000000000003</v>
      </c>
      <c r="F118" s="393">
        <f>AVERAGE(C118:E118)</f>
        <v>76.572000000000003</v>
      </c>
      <c r="G118" s="470">
        <f>'T-2'!D6</f>
        <v>76.572000000000003</v>
      </c>
      <c r="H118" s="470">
        <f>'T-2'!E6</f>
        <v>76.572000000000003</v>
      </c>
      <c r="I118" s="470">
        <f>'T-2'!F6</f>
        <v>76.572000000000003</v>
      </c>
      <c r="J118" s="393">
        <f>'T-2'!G6</f>
        <v>76.572000000000003</v>
      </c>
      <c r="K118" s="394">
        <f t="shared" ref="K118:K143" si="117">IF(F118=0,0,J118/F118-1)</f>
        <v>0</v>
      </c>
      <c r="L118" s="413"/>
      <c r="M118" s="284"/>
      <c r="N118" s="391"/>
    </row>
    <row r="119" spans="1:14" ht="15" customHeight="1">
      <c r="A119" s="389">
        <f>MAX($A$7:A118)+1</f>
        <v>47</v>
      </c>
      <c r="B119" s="392" t="str">
        <f>'T-2'!B7</f>
        <v>AMORT NONFED PNW AC INTERTIE</v>
      </c>
      <c r="C119" s="470">
        <f>'T-2'!D7</f>
        <v>3493.3388399999999</v>
      </c>
      <c r="D119" s="470">
        <f>'T-2'!E7</f>
        <v>3493.3388399999999</v>
      </c>
      <c r="E119" s="470">
        <f>'T-2'!F7</f>
        <v>3493.3388399999999</v>
      </c>
      <c r="F119" s="393">
        <f t="shared" ref="F119:F140" si="118">AVERAGE(C119:E119)</f>
        <v>3493.3388399999999</v>
      </c>
      <c r="G119" s="470">
        <f>'T-2'!D7</f>
        <v>3493.3388399999999</v>
      </c>
      <c r="H119" s="470">
        <f>'T-2'!E7</f>
        <v>3493.3388399999999</v>
      </c>
      <c r="I119" s="470">
        <f>'T-2'!F7</f>
        <v>3493.3388399999999</v>
      </c>
      <c r="J119" s="393">
        <f>'T-2'!G7</f>
        <v>3493.3388399999999</v>
      </c>
      <c r="K119" s="394">
        <f t="shared" si="117"/>
        <v>0</v>
      </c>
      <c r="L119" s="409"/>
      <c r="M119" s="409"/>
      <c r="N119" s="391"/>
    </row>
    <row r="120" spans="1:14" ht="15" customHeight="1">
      <c r="A120" s="389">
        <f>MAX($A$7:A119)+1</f>
        <v>48</v>
      </c>
      <c r="B120" s="392" t="str">
        <f>'T-2'!B8</f>
        <v>BPA EQUIPMENT USE</v>
      </c>
      <c r="C120" s="470">
        <f>'T-2'!D8</f>
        <v>172.00800000000001</v>
      </c>
      <c r="D120" s="470">
        <f>'T-2'!E8</f>
        <v>172.00800000000001</v>
      </c>
      <c r="E120" s="470">
        <f>'T-2'!F8</f>
        <v>172.00800000000001</v>
      </c>
      <c r="F120" s="393">
        <f t="shared" si="118"/>
        <v>172.00800000000001</v>
      </c>
      <c r="G120" s="470">
        <f>'T-2'!D8</f>
        <v>172.00800000000001</v>
      </c>
      <c r="H120" s="470">
        <f>'T-2'!E8</f>
        <v>172.00800000000001</v>
      </c>
      <c r="I120" s="470">
        <f>'T-2'!F8</f>
        <v>172.00800000000001</v>
      </c>
      <c r="J120" s="393">
        <f>'T-2'!G8</f>
        <v>172.00800000000001</v>
      </c>
      <c r="K120" s="394">
        <f t="shared" si="117"/>
        <v>0</v>
      </c>
      <c r="L120" s="282"/>
      <c r="M120" s="284"/>
      <c r="N120" s="391"/>
    </row>
    <row r="121" spans="1:14" ht="15" customHeight="1">
      <c r="A121" s="389">
        <f>MAX($A$7:A120)+1</f>
        <v>49</v>
      </c>
      <c r="B121" s="392" t="str">
        <f>'T-2'!B9</f>
        <v>DSI DELIVERY CHARGE</v>
      </c>
      <c r="C121" s="470">
        <f>'T-2'!D9</f>
        <v>2030.1</v>
      </c>
      <c r="D121" s="470">
        <f>'T-2'!E9</f>
        <v>384.20400000000001</v>
      </c>
      <c r="E121" s="470">
        <f>'T-2'!F9</f>
        <v>384.20400000000001</v>
      </c>
      <c r="F121" s="393">
        <f t="shared" si="118"/>
        <v>932.83600000000013</v>
      </c>
      <c r="G121" s="470">
        <f>'T-2'!D9</f>
        <v>2030.1</v>
      </c>
      <c r="H121" s="470">
        <f>'T-2'!E9</f>
        <v>384.20400000000001</v>
      </c>
      <c r="I121" s="470">
        <f>'T-2'!F9</f>
        <v>384.20400000000001</v>
      </c>
      <c r="J121" s="393">
        <f>'T-2'!G9</f>
        <v>932.83600000000013</v>
      </c>
      <c r="K121" s="394">
        <f t="shared" si="117"/>
        <v>0</v>
      </c>
      <c r="L121" s="282"/>
      <c r="M121" s="284"/>
      <c r="N121" s="391"/>
    </row>
    <row r="122" spans="1:14" ht="15" customHeight="1">
      <c r="A122" s="389">
        <f>MAX($A$7:A121)+1</f>
        <v>50</v>
      </c>
      <c r="B122" s="392" t="str">
        <f>'T-2'!B10</f>
        <v>FIBER LEASES</v>
      </c>
      <c r="C122" s="470">
        <f>'T-2'!D10</f>
        <v>5694.8895499999999</v>
      </c>
      <c r="D122" s="470">
        <f>'T-2'!E10</f>
        <v>5075.2510400000001</v>
      </c>
      <c r="E122" s="470">
        <f>'T-2'!F10</f>
        <v>4963.3280400000003</v>
      </c>
      <c r="F122" s="393">
        <f t="shared" si="118"/>
        <v>5244.4895433333331</v>
      </c>
      <c r="G122" s="470">
        <f>'T-2'!D10</f>
        <v>5694.8895499999999</v>
      </c>
      <c r="H122" s="470">
        <f>'T-2'!E10</f>
        <v>5075.2510400000001</v>
      </c>
      <c r="I122" s="470">
        <f>'T-2'!F10</f>
        <v>4963.3280400000003</v>
      </c>
      <c r="J122" s="393">
        <f>'T-2'!G10</f>
        <v>5244.4895433333331</v>
      </c>
      <c r="K122" s="394">
        <f t="shared" si="117"/>
        <v>0</v>
      </c>
      <c r="L122" s="282"/>
      <c r="M122" s="284"/>
      <c r="N122" s="391"/>
    </row>
    <row r="123" spans="1:14" ht="15" customHeight="1">
      <c r="A123" s="389">
        <f>MAX($A$7:A122)+1</f>
        <v>51</v>
      </c>
      <c r="B123" s="392" t="str">
        <f>'T-2'!B11</f>
        <v>FIBER OPERATIONS &amp; MAINTENANCE</v>
      </c>
      <c r="C123" s="470">
        <f>'T-2'!D11</f>
        <v>907.89818000000002</v>
      </c>
      <c r="D123" s="470">
        <f>'T-2'!E11</f>
        <v>812.57443999999998</v>
      </c>
      <c r="E123" s="470">
        <f>'T-2'!F11</f>
        <v>801.49924999999996</v>
      </c>
      <c r="F123" s="393">
        <f t="shared" si="118"/>
        <v>840.65728999999999</v>
      </c>
      <c r="G123" s="470">
        <f>'T-2'!D11</f>
        <v>907.89818000000002</v>
      </c>
      <c r="H123" s="470">
        <f>'T-2'!E11</f>
        <v>812.57443999999998</v>
      </c>
      <c r="I123" s="470">
        <f>'T-2'!F11</f>
        <v>801.49924999999996</v>
      </c>
      <c r="J123" s="393">
        <f>'T-2'!G11</f>
        <v>840.65728999999999</v>
      </c>
      <c r="K123" s="394">
        <f t="shared" si="117"/>
        <v>0</v>
      </c>
      <c r="L123" s="282"/>
      <c r="M123" s="284"/>
      <c r="N123" s="391"/>
    </row>
    <row r="124" spans="1:14" ht="15" customHeight="1">
      <c r="A124" s="389">
        <f>MAX($A$7:A123)+1</f>
        <v>52</v>
      </c>
      <c r="B124" s="392" t="str">
        <f>'T-2'!B12</f>
        <v>LAND USE/LEASE/SALE</v>
      </c>
      <c r="C124" s="470">
        <f>'T-2'!D12</f>
        <v>88.123000000000005</v>
      </c>
      <c r="D124" s="470">
        <f>'T-2'!E12</f>
        <v>88.123000000000005</v>
      </c>
      <c r="E124" s="470">
        <f>'T-2'!F12</f>
        <v>88.123000000000005</v>
      </c>
      <c r="F124" s="393">
        <f t="shared" si="118"/>
        <v>88.123000000000005</v>
      </c>
      <c r="G124" s="470">
        <f>'T-2'!D12</f>
        <v>88.123000000000005</v>
      </c>
      <c r="H124" s="470">
        <f>'T-2'!E12</f>
        <v>88.123000000000005</v>
      </c>
      <c r="I124" s="470">
        <f>'T-2'!F12</f>
        <v>88.123000000000005</v>
      </c>
      <c r="J124" s="393">
        <f>'T-2'!G12</f>
        <v>88.123000000000005</v>
      </c>
      <c r="K124" s="394">
        <f t="shared" si="117"/>
        <v>0</v>
      </c>
      <c r="L124" s="282"/>
      <c r="M124" s="284"/>
      <c r="N124" s="391"/>
    </row>
    <row r="125" spans="1:14" ht="15" customHeight="1">
      <c r="A125" s="389">
        <f>MAX($A$7:A124)+1</f>
        <v>53</v>
      </c>
      <c r="B125" s="392" t="str">
        <f>'T-2'!B13</f>
        <v>MISC LEASES</v>
      </c>
      <c r="C125" s="470">
        <f>'T-2'!D13</f>
        <v>83.978999999999999</v>
      </c>
      <c r="D125" s="470">
        <f>'T-2'!E13</f>
        <v>83.978999999999999</v>
      </c>
      <c r="E125" s="470">
        <f>'T-2'!F13</f>
        <v>83.978999999999999</v>
      </c>
      <c r="F125" s="393">
        <f t="shared" si="118"/>
        <v>83.978999999999999</v>
      </c>
      <c r="G125" s="470">
        <f>'T-2'!D13</f>
        <v>83.978999999999999</v>
      </c>
      <c r="H125" s="470">
        <f>'T-2'!E13</f>
        <v>83.978999999999999</v>
      </c>
      <c r="I125" s="470">
        <f>'T-2'!F13</f>
        <v>83.978999999999999</v>
      </c>
      <c r="J125" s="393">
        <f>'T-2'!G13</f>
        <v>83.978999999999999</v>
      </c>
      <c r="K125" s="394">
        <f t="shared" si="117"/>
        <v>0</v>
      </c>
      <c r="L125" s="282"/>
      <c r="M125" s="284"/>
      <c r="N125" s="391"/>
    </row>
    <row r="126" spans="1:14" ht="15" customHeight="1">
      <c r="A126" s="389">
        <f>MAX($A$7:A125)+1</f>
        <v>54</v>
      </c>
      <c r="B126" s="392" t="str">
        <f>'T-2'!B14</f>
        <v>MISC SERVICE FEES</v>
      </c>
      <c r="C126" s="470">
        <f>'T-2'!D14</f>
        <v>1212.912</v>
      </c>
      <c r="D126" s="470">
        <f>'T-2'!E14</f>
        <v>1212.912</v>
      </c>
      <c r="E126" s="470">
        <f>'T-2'!F14</f>
        <v>1212.912</v>
      </c>
      <c r="F126" s="393">
        <f t="shared" si="118"/>
        <v>1212.912</v>
      </c>
      <c r="G126" s="470">
        <f>'T-2'!D14</f>
        <v>1212.912</v>
      </c>
      <c r="H126" s="470">
        <f>'T-2'!E14</f>
        <v>1212.912</v>
      </c>
      <c r="I126" s="470">
        <f>'T-2'!F14</f>
        <v>1212.912</v>
      </c>
      <c r="J126" s="393">
        <f>'T-2'!G14</f>
        <v>1212.912</v>
      </c>
      <c r="K126" s="394">
        <f t="shared" si="117"/>
        <v>0</v>
      </c>
      <c r="L126" s="282"/>
      <c r="M126" s="284"/>
      <c r="N126" s="391"/>
    </row>
    <row r="127" spans="1:14" ht="15" customHeight="1">
      <c r="A127" s="389">
        <f>MAX($A$7:A126)+1</f>
        <v>55</v>
      </c>
      <c r="B127" s="392" t="str">
        <f>'T-2'!B15</f>
        <v>O&amp;M FEDERAL FACILITY</v>
      </c>
      <c r="C127" s="470">
        <f>'T-2'!D15</f>
        <v>220.97200000000001</v>
      </c>
      <c r="D127" s="470">
        <f>'T-2'!E15</f>
        <v>220.97200000000001</v>
      </c>
      <c r="E127" s="470">
        <f>'T-2'!F15</f>
        <v>220.97200000000001</v>
      </c>
      <c r="F127" s="393">
        <f t="shared" si="118"/>
        <v>220.97200000000001</v>
      </c>
      <c r="G127" s="470">
        <f>'T-2'!D15</f>
        <v>220.97200000000001</v>
      </c>
      <c r="H127" s="470">
        <f>'T-2'!E15</f>
        <v>220.97200000000001</v>
      </c>
      <c r="I127" s="470">
        <f>'T-2'!F15</f>
        <v>220.97200000000001</v>
      </c>
      <c r="J127" s="393">
        <f>'T-2'!G15</f>
        <v>220.97200000000001</v>
      </c>
      <c r="K127" s="394">
        <f t="shared" si="117"/>
        <v>0</v>
      </c>
      <c r="L127" s="282"/>
      <c r="M127" s="284"/>
      <c r="N127" s="391"/>
    </row>
    <row r="128" spans="1:14" ht="15" customHeight="1">
      <c r="A128" s="389">
        <f>MAX($A$7:A127)+1</f>
        <v>56</v>
      </c>
      <c r="B128" s="392" t="str">
        <f>'T-2'!B16</f>
        <v>O&amp;M NON-FEDERAL FACILITY</v>
      </c>
      <c r="C128" s="470">
        <f>'T-2'!D16</f>
        <v>417.108</v>
      </c>
      <c r="D128" s="470">
        <f>'T-2'!E16</f>
        <v>417.108</v>
      </c>
      <c r="E128" s="470">
        <f>'T-2'!F16</f>
        <v>417.108</v>
      </c>
      <c r="F128" s="393">
        <f t="shared" si="118"/>
        <v>417.108</v>
      </c>
      <c r="G128" s="470">
        <f>'T-2'!D16</f>
        <v>417.108</v>
      </c>
      <c r="H128" s="470">
        <f>'T-2'!E16</f>
        <v>417.108</v>
      </c>
      <c r="I128" s="470">
        <f>'T-2'!F16</f>
        <v>417.108</v>
      </c>
      <c r="J128" s="393">
        <f>'T-2'!G16</f>
        <v>417.108</v>
      </c>
      <c r="K128" s="394">
        <f t="shared" si="117"/>
        <v>0</v>
      </c>
      <c r="L128" s="282"/>
      <c r="M128" s="284"/>
      <c r="N128" s="391"/>
    </row>
    <row r="129" spans="1:14" ht="15" customHeight="1">
      <c r="A129" s="389">
        <f>MAX($A$7:A128)+1</f>
        <v>57</v>
      </c>
      <c r="B129" s="392" t="str">
        <f>'T-2'!B17</f>
        <v>PCS CONSTRUCTION</v>
      </c>
      <c r="C129" s="470">
        <f>'T-2'!D17</f>
        <v>2400</v>
      </c>
      <c r="D129" s="470">
        <f>'T-2'!E17</f>
        <v>2400</v>
      </c>
      <c r="E129" s="470">
        <f>'T-2'!F17</f>
        <v>2400</v>
      </c>
      <c r="F129" s="393">
        <f t="shared" si="118"/>
        <v>2400</v>
      </c>
      <c r="G129" s="470">
        <f>'T-2'!D17</f>
        <v>2400</v>
      </c>
      <c r="H129" s="470">
        <f>'T-2'!E17</f>
        <v>2400</v>
      </c>
      <c r="I129" s="470">
        <f>'T-2'!F17</f>
        <v>2400</v>
      </c>
      <c r="J129" s="393">
        <f>'T-2'!G17</f>
        <v>2400</v>
      </c>
      <c r="K129" s="394">
        <f t="shared" si="117"/>
        <v>0</v>
      </c>
      <c r="L129" s="282"/>
      <c r="M129" s="284"/>
      <c r="N129" s="391"/>
    </row>
    <row r="130" spans="1:14" ht="15" customHeight="1">
      <c r="A130" s="389">
        <f>MAX($A$7:A129)+1</f>
        <v>58</v>
      </c>
      <c r="B130" s="392" t="str">
        <f>'T-2'!B18</f>
        <v>PCS OPERATIONS &amp; MAINTENANCE</v>
      </c>
      <c r="C130" s="470">
        <f>'T-2'!D18</f>
        <v>780</v>
      </c>
      <c r="D130" s="470">
        <f>'T-2'!E18</f>
        <v>780</v>
      </c>
      <c r="E130" s="470">
        <f>'T-2'!F18</f>
        <v>780</v>
      </c>
      <c r="F130" s="393">
        <f t="shared" si="118"/>
        <v>780</v>
      </c>
      <c r="G130" s="470">
        <f>'T-2'!D18</f>
        <v>780</v>
      </c>
      <c r="H130" s="470">
        <f>'T-2'!E18</f>
        <v>780</v>
      </c>
      <c r="I130" s="470">
        <f>'T-2'!F18</f>
        <v>780</v>
      </c>
      <c r="J130" s="393">
        <f>'T-2'!G18</f>
        <v>780</v>
      </c>
      <c r="K130" s="394">
        <f t="shared" si="117"/>
        <v>0</v>
      </c>
      <c r="L130" s="409"/>
      <c r="M130" s="409"/>
      <c r="N130" s="391"/>
    </row>
    <row r="131" spans="1:14" ht="15" customHeight="1">
      <c r="A131" s="389">
        <f>MAX($A$7:A130)+1</f>
        <v>59</v>
      </c>
      <c r="B131" s="392" t="str">
        <f>'T-2'!B19</f>
        <v>PCS WIRELESS LEASES</v>
      </c>
      <c r="C131" s="470">
        <f>'T-2'!D19</f>
        <v>6752.7</v>
      </c>
      <c r="D131" s="470">
        <f>'T-2'!E19</f>
        <v>6752.7</v>
      </c>
      <c r="E131" s="470">
        <f>'T-2'!F19</f>
        <v>6752.7</v>
      </c>
      <c r="F131" s="393">
        <f t="shared" si="118"/>
        <v>6752.7</v>
      </c>
      <c r="G131" s="470">
        <f>'T-2'!D19</f>
        <v>6752.7</v>
      </c>
      <c r="H131" s="470">
        <f>'T-2'!E19</f>
        <v>6752.7</v>
      </c>
      <c r="I131" s="470">
        <f>'T-2'!F19</f>
        <v>6752.7</v>
      </c>
      <c r="J131" s="393">
        <f>'T-2'!G19</f>
        <v>6752.7</v>
      </c>
      <c r="K131" s="394">
        <f t="shared" si="117"/>
        <v>0</v>
      </c>
      <c r="L131" s="282"/>
      <c r="M131" s="284"/>
      <c r="N131" s="391"/>
    </row>
    <row r="132" spans="1:14" ht="15" customHeight="1">
      <c r="A132" s="389">
        <f>MAX($A$7:A131)+1</f>
        <v>60</v>
      </c>
      <c r="B132" s="392" t="str">
        <f>'T-2'!B20</f>
        <v>PTP RESERVATION FEE</v>
      </c>
      <c r="C132" s="470">
        <f>'T-2'!D20</f>
        <v>3724.48</v>
      </c>
      <c r="D132" s="470">
        <f>'T-2'!E20</f>
        <v>2208.3200000000002</v>
      </c>
      <c r="E132" s="470">
        <f>'T-2'!F20</f>
        <v>2208.3200000000002</v>
      </c>
      <c r="F132" s="393">
        <f t="shared" si="118"/>
        <v>2713.7066666666669</v>
      </c>
      <c r="G132" s="470">
        <f>'T-2'!D20</f>
        <v>3724.48</v>
      </c>
      <c r="H132" s="470">
        <f>'T-2'!E20</f>
        <v>2208.3200000000002</v>
      </c>
      <c r="I132" s="470">
        <f>'T-2'!F20</f>
        <v>2208.3200000000002</v>
      </c>
      <c r="J132" s="393">
        <f>'T-2'!G20</f>
        <v>2713.7066666666669</v>
      </c>
      <c r="K132" s="394">
        <f t="shared" si="117"/>
        <v>0</v>
      </c>
      <c r="L132" s="282"/>
      <c r="M132" s="284"/>
      <c r="N132" s="391"/>
    </row>
    <row r="133" spans="1:14" ht="15" customHeight="1">
      <c r="A133" s="389">
        <f>MAX($A$7:A132)+1</f>
        <v>61</v>
      </c>
      <c r="B133" s="392" t="str">
        <f>'T-2'!B21</f>
        <v>RIGHT-OF-WAY LEASE</v>
      </c>
      <c r="C133" s="470">
        <f>'T-2'!D21</f>
        <v>79.2</v>
      </c>
      <c r="D133" s="470">
        <f>'T-2'!E21</f>
        <v>79.2</v>
      </c>
      <c r="E133" s="470">
        <f>'T-2'!F21</f>
        <v>79.2</v>
      </c>
      <c r="F133" s="393">
        <f t="shared" si="118"/>
        <v>79.2</v>
      </c>
      <c r="G133" s="470">
        <f>'T-2'!D21</f>
        <v>79.2</v>
      </c>
      <c r="H133" s="470">
        <f>'T-2'!E21</f>
        <v>79.2</v>
      </c>
      <c r="I133" s="470">
        <f>'T-2'!F21</f>
        <v>79.2</v>
      </c>
      <c r="J133" s="393">
        <f>'T-2'!G21</f>
        <v>79.2</v>
      </c>
      <c r="K133" s="394">
        <f t="shared" si="117"/>
        <v>0</v>
      </c>
      <c r="L133" s="282"/>
      <c r="M133" s="284"/>
      <c r="N133" s="391"/>
    </row>
    <row r="134" spans="1:14" ht="15" customHeight="1">
      <c r="A134" s="389">
        <f>MAX($A$7:A133)+1</f>
        <v>62</v>
      </c>
      <c r="B134" s="392" t="str">
        <f>'T-2'!B22</f>
        <v>SINT AC NON FEDERAL O&amp;M</v>
      </c>
      <c r="C134" s="470">
        <f>'T-2'!D22</f>
        <v>2209.8000000000002</v>
      </c>
      <c r="D134" s="470">
        <f>'T-2'!E22</f>
        <v>2209.8000000000002</v>
      </c>
      <c r="E134" s="470">
        <f>'T-2'!F22</f>
        <v>2209.8000000000002</v>
      </c>
      <c r="F134" s="393">
        <f t="shared" si="118"/>
        <v>2209.8000000000002</v>
      </c>
      <c r="G134" s="470">
        <f>'T-2'!D22</f>
        <v>2209.8000000000002</v>
      </c>
      <c r="H134" s="470">
        <f>'T-2'!E22</f>
        <v>2209.8000000000002</v>
      </c>
      <c r="I134" s="470">
        <f>'T-2'!F22</f>
        <v>2209.8000000000002</v>
      </c>
      <c r="J134" s="393">
        <f>'T-2'!G22</f>
        <v>2209.8000000000002</v>
      </c>
      <c r="K134" s="394">
        <f t="shared" si="117"/>
        <v>0</v>
      </c>
      <c r="L134" s="282"/>
      <c r="M134" s="284" t="s">
        <v>8</v>
      </c>
      <c r="N134" s="391"/>
    </row>
    <row r="135" spans="1:14" ht="15" customHeight="1">
      <c r="A135" s="389">
        <f>MAX($A$7:A134)+1</f>
        <v>63</v>
      </c>
      <c r="B135" s="392" t="str">
        <f>'T-2'!B23</f>
        <v>TRANSMISSION OPERATOR SERVICES</v>
      </c>
      <c r="C135" s="470">
        <f>'T-2'!D23</f>
        <v>900</v>
      </c>
      <c r="D135" s="470">
        <f>'T-2'!E23</f>
        <v>900</v>
      </c>
      <c r="E135" s="470">
        <f>'T-2'!F23</f>
        <v>900</v>
      </c>
      <c r="F135" s="393">
        <f t="shared" si="118"/>
        <v>900</v>
      </c>
      <c r="G135" s="470">
        <f>'T-2'!D23</f>
        <v>900</v>
      </c>
      <c r="H135" s="470">
        <f>'T-2'!E23</f>
        <v>900</v>
      </c>
      <c r="I135" s="470">
        <f>'T-2'!F23</f>
        <v>900</v>
      </c>
      <c r="J135" s="393">
        <f>'T-2'!G23</f>
        <v>900</v>
      </c>
      <c r="K135" s="394">
        <f t="shared" si="117"/>
        <v>0</v>
      </c>
      <c r="L135" s="282"/>
      <c r="M135" s="284"/>
      <c r="N135" s="391"/>
    </row>
    <row r="136" spans="1:14" ht="15" customHeight="1">
      <c r="A136" s="389">
        <f>MAX($A$7:A135)+1</f>
        <v>64</v>
      </c>
      <c r="B136" s="392" t="str">
        <f>'T-2'!B24</f>
        <v>TRANSMISSION PLANNER CFR SERV</v>
      </c>
      <c r="C136" s="470">
        <f>'T-2'!D24</f>
        <v>269.35752000000002</v>
      </c>
      <c r="D136" s="470">
        <f>'T-2'!E24</f>
        <v>269.35752000000002</v>
      </c>
      <c r="E136" s="470">
        <f>'T-2'!F24</f>
        <v>269.35752000000002</v>
      </c>
      <c r="F136" s="393">
        <f t="shared" ref="F136" si="119">AVERAGE(C136:E136)</f>
        <v>269.35752000000002</v>
      </c>
      <c r="G136" s="470">
        <f>'T-2'!D24</f>
        <v>269.35752000000002</v>
      </c>
      <c r="H136" s="470">
        <f>'T-2'!E24</f>
        <v>269.35752000000002</v>
      </c>
      <c r="I136" s="470">
        <f>'T-2'!F24</f>
        <v>269.35752000000002</v>
      </c>
      <c r="J136" s="393">
        <f>'T-2'!G24</f>
        <v>269.35752000000002</v>
      </c>
      <c r="K136" s="394">
        <f t="shared" ref="K136" si="120">IF(F136=0,0,J136/F136-1)</f>
        <v>0</v>
      </c>
      <c r="L136" s="282"/>
      <c r="M136" s="284"/>
      <c r="N136" s="391"/>
    </row>
    <row r="137" spans="1:14" ht="15" customHeight="1">
      <c r="A137" s="389">
        <f>MAX($A$7:A136)+1</f>
        <v>65</v>
      </c>
      <c r="B137" s="392" t="str">
        <f>'T-2'!B25</f>
        <v>TRANSMISSION PROCESSING FEE</v>
      </c>
      <c r="C137" s="470">
        <f>'T-2'!D25</f>
        <v>39.6</v>
      </c>
      <c r="D137" s="470">
        <f>'T-2'!E25</f>
        <v>39.6</v>
      </c>
      <c r="E137" s="470">
        <f>'T-2'!F25</f>
        <v>39.6</v>
      </c>
      <c r="F137" s="393">
        <f t="shared" si="118"/>
        <v>39.6</v>
      </c>
      <c r="G137" s="470">
        <f>'T-2'!D25</f>
        <v>39.6</v>
      </c>
      <c r="H137" s="470">
        <f>'T-2'!E25</f>
        <v>39.6</v>
      </c>
      <c r="I137" s="470">
        <f>'T-2'!F25</f>
        <v>39.6</v>
      </c>
      <c r="J137" s="393">
        <f>'T-2'!G25</f>
        <v>39.6</v>
      </c>
      <c r="K137" s="394">
        <f t="shared" si="117"/>
        <v>0</v>
      </c>
      <c r="L137" s="282"/>
      <c r="M137" s="284"/>
      <c r="N137" s="391"/>
    </row>
    <row r="138" spans="1:14" ht="15" customHeight="1">
      <c r="A138" s="389">
        <f>MAX($A$7:A137)+1</f>
        <v>66</v>
      </c>
      <c r="B138" s="392" t="str">
        <f>'T-2'!B26</f>
        <v>TS SHARE OF RES ENRGY/WHLG-COE</v>
      </c>
      <c r="C138" s="470">
        <f>'T-2'!D26</f>
        <v>245.697</v>
      </c>
      <c r="D138" s="470">
        <f>'T-2'!E26</f>
        <v>245.697</v>
      </c>
      <c r="E138" s="470">
        <f>'T-2'!F26</f>
        <v>245.697</v>
      </c>
      <c r="F138" s="393">
        <f t="shared" si="118"/>
        <v>245.697</v>
      </c>
      <c r="G138" s="470">
        <f>'T-2'!D26</f>
        <v>245.697</v>
      </c>
      <c r="H138" s="470">
        <f>'T-2'!E26</f>
        <v>245.697</v>
      </c>
      <c r="I138" s="470">
        <f>'T-2'!F26</f>
        <v>245.697</v>
      </c>
      <c r="J138" s="393">
        <f>'T-2'!G26</f>
        <v>245.697</v>
      </c>
      <c r="K138" s="394">
        <f t="shared" si="117"/>
        <v>0</v>
      </c>
      <c r="L138" s="282"/>
      <c r="M138" s="284"/>
      <c r="N138" s="391"/>
    </row>
    <row r="139" spans="1:14" ht="15" customHeight="1">
      <c r="A139" s="389">
        <f>MAX($A$7:A138)+1</f>
        <v>67</v>
      </c>
      <c r="B139" s="392" t="str">
        <f>'T-2'!B27</f>
        <v>UFT FIXED DOLLAR AMOUNT</v>
      </c>
      <c r="C139" s="470">
        <f>'T-2'!D27</f>
        <v>3429.5880000000002</v>
      </c>
      <c r="D139" s="470">
        <f>'T-2'!E27</f>
        <v>3429.5880000000002</v>
      </c>
      <c r="E139" s="470">
        <f>'T-2'!F27</f>
        <v>3429.5880000000002</v>
      </c>
      <c r="F139" s="393">
        <f t="shared" si="118"/>
        <v>3429.5880000000002</v>
      </c>
      <c r="G139" s="470">
        <f>'T-2'!D27</f>
        <v>3429.5880000000002</v>
      </c>
      <c r="H139" s="470">
        <f>'T-2'!E27</f>
        <v>3429.5880000000002</v>
      </c>
      <c r="I139" s="470">
        <f>'T-2'!F27</f>
        <v>3429.5880000000002</v>
      </c>
      <c r="J139" s="393">
        <f>'T-2'!G27</f>
        <v>3429.5880000000002</v>
      </c>
      <c r="K139" s="394">
        <f t="shared" si="117"/>
        <v>0</v>
      </c>
      <c r="L139" s="282"/>
      <c r="M139" s="284"/>
      <c r="N139" s="391"/>
    </row>
    <row r="140" spans="1:14" ht="15" customHeight="1">
      <c r="A140" s="389">
        <f>MAX($A$7:A139)+1</f>
        <v>68</v>
      </c>
      <c r="B140" s="392" t="str">
        <f>'T-2'!B28</f>
        <v>UFT VARIABLE SERVICE AMT</v>
      </c>
      <c r="C140" s="470">
        <f>'T-2'!D28</f>
        <v>242.916</v>
      </c>
      <c r="D140" s="470">
        <f>'T-2'!E28</f>
        <v>242.916</v>
      </c>
      <c r="E140" s="470">
        <f>'T-2'!F28</f>
        <v>242.916</v>
      </c>
      <c r="F140" s="393">
        <f t="shared" si="118"/>
        <v>242.91600000000003</v>
      </c>
      <c r="G140" s="470">
        <f>'T-2'!D28</f>
        <v>242.916</v>
      </c>
      <c r="H140" s="470">
        <f>'T-2'!E28</f>
        <v>242.916</v>
      </c>
      <c r="I140" s="470">
        <f>'T-2'!F28</f>
        <v>242.916</v>
      </c>
      <c r="J140" s="393">
        <f>'T-2'!G28</f>
        <v>242.91600000000003</v>
      </c>
      <c r="K140" s="394">
        <f t="shared" si="117"/>
        <v>0</v>
      </c>
      <c r="L140" s="282"/>
      <c r="M140" s="284"/>
      <c r="N140" s="391"/>
    </row>
    <row r="141" spans="1:14" ht="15" customHeight="1">
      <c r="A141" s="389">
        <f>MAX($A$7:A140)+1</f>
        <v>69</v>
      </c>
      <c r="B141" s="392" t="s">
        <v>263</v>
      </c>
      <c r="C141" s="470">
        <f>'T-3'!C17</f>
        <v>23490.064630449051</v>
      </c>
      <c r="D141" s="470">
        <f>'T-3'!C28</f>
        <v>24626.427500670365</v>
      </c>
      <c r="E141" s="470">
        <f>'T-3'!C39</f>
        <v>26374.974109086412</v>
      </c>
      <c r="F141" s="393">
        <f>AVERAGE(C141:E141)</f>
        <v>24830.488746735278</v>
      </c>
      <c r="G141" s="470">
        <f>'T-3'!C17</f>
        <v>23490.064630449051</v>
      </c>
      <c r="H141" s="470">
        <f>'T-3'!C28</f>
        <v>24626.427500670365</v>
      </c>
      <c r="I141" s="470">
        <f>'T-3'!C39</f>
        <v>26374.974109086412</v>
      </c>
      <c r="J141" s="393">
        <f>AVERAGE(G141:I141)</f>
        <v>24830.488746735278</v>
      </c>
      <c r="K141" s="394">
        <f t="shared" si="117"/>
        <v>0</v>
      </c>
      <c r="L141" s="282"/>
      <c r="M141" s="284"/>
      <c r="N141" s="391"/>
    </row>
    <row r="142" spans="1:14" ht="15" customHeight="1">
      <c r="A142" s="389">
        <f>MAX($A$7:A141)+1</f>
        <v>70</v>
      </c>
      <c r="B142" s="392" t="s">
        <v>410</v>
      </c>
      <c r="C142" s="495">
        <f>'T-7'!E27*(3/2)*'T-9'!E23*12</f>
        <v>12227.64</v>
      </c>
      <c r="D142" s="495">
        <f>'T-7'!E27*(3/2)*'T-9'!E23*12</f>
        <v>12227.64</v>
      </c>
      <c r="E142" s="495">
        <v>0</v>
      </c>
      <c r="F142" s="393">
        <f>AVERAGE(C142:E142)</f>
        <v>8151.7599999999993</v>
      </c>
      <c r="G142" s="495">
        <f>'T-7'!E27*(3/2)*'T-9'!F23*12</f>
        <v>11418.000000000002</v>
      </c>
      <c r="H142" s="495">
        <f>'T-7'!E27*(3/2)*'T-9'!F23*12</f>
        <v>11418.000000000002</v>
      </c>
      <c r="I142" s="495">
        <v>0</v>
      </c>
      <c r="J142" s="393">
        <f>AVERAGE(G142:I142)</f>
        <v>7612.0000000000009</v>
      </c>
      <c r="K142" s="394">
        <f t="shared" si="117"/>
        <v>-6.6213921901527861E-2</v>
      </c>
      <c r="L142" s="282"/>
      <c r="M142" s="284"/>
      <c r="N142" s="391"/>
    </row>
    <row r="143" spans="1:14" ht="15" customHeight="1">
      <c r="A143" s="389">
        <f>MAX($A$7:A142)+1</f>
        <v>71</v>
      </c>
      <c r="B143" s="415" t="s">
        <v>386</v>
      </c>
      <c r="C143" s="491"/>
      <c r="D143" s="491"/>
      <c r="E143" s="491"/>
      <c r="F143" s="491">
        <f>SUM(F118:F142)</f>
        <v>65827.809606735274</v>
      </c>
      <c r="G143" s="491">
        <f>SUM(G118:G142)</f>
        <v>70379.303720449054</v>
      </c>
      <c r="H143" s="491">
        <f>SUM(H118:H142)</f>
        <v>67638.648340670363</v>
      </c>
      <c r="I143" s="491">
        <f>SUM(I118:I142)</f>
        <v>57846.196759086408</v>
      </c>
      <c r="J143" s="491">
        <f>SUM(J118:J142)</f>
        <v>65288.04960673528</v>
      </c>
      <c r="K143" s="390">
        <f t="shared" si="117"/>
        <v>-8.1995740588148847E-3</v>
      </c>
      <c r="L143" s="282"/>
      <c r="M143" s="284"/>
      <c r="N143" s="391"/>
    </row>
    <row r="144" spans="1:14" ht="22.5" customHeight="1" thickBot="1">
      <c r="A144" s="389">
        <f>MAX($A$7:A143)+1</f>
        <v>72</v>
      </c>
      <c r="B144" s="455" t="str">
        <f>IF(M2=1,"Total Revenue","Total Revenue Less GI")</f>
        <v>Total Revenue</v>
      </c>
      <c r="C144" s="456">
        <f t="shared" ref="C144:J144" si="121">SUM(C115+C143)</f>
        <v>1302822.1692145069</v>
      </c>
      <c r="D144" s="456">
        <f t="shared" si="121"/>
        <v>1335378.1883948864</v>
      </c>
      <c r="E144" s="456">
        <f t="shared" si="121"/>
        <v>1401363.6723586365</v>
      </c>
      <c r="F144" s="456">
        <f t="shared" si="121"/>
        <v>1412349.152929412</v>
      </c>
      <c r="G144" s="456">
        <f t="shared" si="121"/>
        <v>1633712.9924306222</v>
      </c>
      <c r="H144" s="456">
        <f t="shared" si="121"/>
        <v>1668983.5264697794</v>
      </c>
      <c r="I144" s="456">
        <f t="shared" si="121"/>
        <v>1737815.5311841236</v>
      </c>
      <c r="J144" s="456">
        <f t="shared" si="121"/>
        <v>1680170.6833615084</v>
      </c>
      <c r="K144" s="457">
        <f>IF(F144=0,0,(J144/F144)-1)</f>
        <v>0.18962841438789879</v>
      </c>
      <c r="L144" s="282"/>
      <c r="M144" s="284"/>
      <c r="N144" s="391"/>
    </row>
    <row r="145" spans="1:14" ht="15" customHeight="1" thickTop="1">
      <c r="A145" s="389"/>
      <c r="B145" s="415"/>
      <c r="C145" s="398"/>
      <c r="D145" s="398"/>
      <c r="E145" s="398"/>
      <c r="F145" s="398"/>
      <c r="G145" s="398"/>
      <c r="H145" s="398"/>
      <c r="I145" s="398"/>
      <c r="J145" s="398"/>
      <c r="K145" s="414"/>
      <c r="L145" s="282"/>
      <c r="M145" s="284"/>
      <c r="N145" s="391"/>
    </row>
    <row r="146" spans="1:14" ht="15" customHeight="1">
      <c r="A146" s="462"/>
      <c r="B146" s="463"/>
      <c r="C146" s="395"/>
      <c r="D146" s="395"/>
      <c r="E146" s="395"/>
      <c r="F146" s="395"/>
      <c r="G146" s="395"/>
      <c r="H146" s="395"/>
      <c r="I146" s="395"/>
      <c r="J146" s="465"/>
    </row>
    <row r="147" spans="1:14" ht="15" customHeight="1">
      <c r="A147" s="466"/>
      <c r="B147" s="466"/>
      <c r="C147" s="466"/>
      <c r="D147" s="466"/>
      <c r="E147" s="466"/>
      <c r="F147" s="466"/>
      <c r="G147" s="466"/>
      <c r="H147" s="466"/>
      <c r="I147" s="466"/>
      <c r="J147" s="466"/>
      <c r="K147" s="409"/>
      <c r="L147" s="282"/>
      <c r="M147" s="284"/>
      <c r="N147" s="391"/>
    </row>
    <row r="148" spans="1:14" ht="15" customHeight="1">
      <c r="A148" s="466"/>
      <c r="B148" s="466"/>
      <c r="C148" s="466"/>
      <c r="D148" s="466"/>
      <c r="E148" s="466"/>
      <c r="F148" s="466"/>
      <c r="G148" s="466"/>
      <c r="H148" s="466"/>
      <c r="I148" s="466"/>
      <c r="J148" s="466"/>
      <c r="K148" s="409"/>
      <c r="L148" s="282"/>
      <c r="M148" s="284"/>
      <c r="N148" s="391"/>
    </row>
    <row r="149" spans="1:14" ht="15" customHeight="1">
      <c r="A149" s="466"/>
      <c r="B149" s="466"/>
      <c r="C149" s="466"/>
      <c r="D149" s="466"/>
      <c r="E149" s="466"/>
      <c r="F149" s="466"/>
      <c r="G149" s="466"/>
      <c r="H149" s="466"/>
      <c r="I149" s="466"/>
      <c r="J149" s="466"/>
      <c r="K149" s="409"/>
      <c r="L149" s="282"/>
      <c r="M149" s="284"/>
      <c r="N149" s="391"/>
    </row>
    <row r="150" spans="1:14" ht="15" customHeight="1">
      <c r="A150" s="466"/>
      <c r="B150" s="466"/>
      <c r="C150" s="466"/>
      <c r="D150" s="466"/>
      <c r="E150" s="466"/>
      <c r="F150" s="466"/>
      <c r="G150" s="466"/>
      <c r="H150" s="466"/>
      <c r="I150" s="466"/>
      <c r="J150" s="466"/>
      <c r="K150" s="409"/>
      <c r="L150" s="502"/>
      <c r="M150" s="284"/>
      <c r="N150" s="391"/>
    </row>
    <row r="151" spans="1:14" ht="22.5" customHeight="1">
      <c r="A151" s="466"/>
      <c r="B151" s="466"/>
      <c r="C151" s="466"/>
      <c r="D151" s="466"/>
      <c r="E151" s="466"/>
      <c r="F151" s="466"/>
      <c r="G151" s="466"/>
      <c r="H151" s="466"/>
      <c r="I151" s="466"/>
      <c r="J151" s="466"/>
    </row>
  </sheetData>
  <mergeCells count="8">
    <mergeCell ref="A1:K1"/>
    <mergeCell ref="A2:K2"/>
    <mergeCell ref="C4:E4"/>
    <mergeCell ref="G4:I4"/>
    <mergeCell ref="C5:E5"/>
    <mergeCell ref="F5:F6"/>
    <mergeCell ref="G5:I5"/>
    <mergeCell ref="J5:J6"/>
  </mergeCells>
  <phoneticPr fontId="243" type="noConversion"/>
  <conditionalFormatting sqref="B115">
    <cfRule type="containsText" dxfId="2" priority="1" operator="containsText" text="NO GEN INPUTS">
      <formula>NOT(ISERROR(SEARCH("NO GEN INPUTS",B115)))</formula>
    </cfRule>
  </conditionalFormatting>
  <printOptions horizontalCentered="1"/>
  <pageMargins left="0.5" right="0.5" top="0.5" bottom="0.25" header="0.1" footer="0.25"/>
  <pageSetup scale="26" fitToHeight="0" orientation="landscape" blackAndWhite="1" r:id="rId1"/>
  <headerFooter alignWithMargins="0"/>
  <rowBreaks count="2" manualBreakCount="2">
    <brk id="70" max="8" man="1"/>
    <brk id="116" max="8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780608AFBDEF40ADECA5E63357D2FD" ma:contentTypeVersion="10" ma:contentTypeDescription="Create a new document." ma:contentTypeScope="" ma:versionID="712799d618fae67210e128a081b73943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883d4e8e4bb62dc9630bd01492c2b58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LongProperties xmlns="http://schemas.microsoft.com/office/2006/metadata/longProperties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DDC3A8-5034-402A-9D6E-0CD9A3F83D7C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6dca774-6cb5-4883-9577-cfbc7c104d3e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4A66BC6-D8B3-4773-8F30-59EF88037301}"/>
</file>

<file path=customXml/itemProps3.xml><?xml version="1.0" encoding="utf-8"?>
<ds:datastoreItem xmlns:ds="http://schemas.openxmlformats.org/officeDocument/2006/customXml" ds:itemID="{9BC54227-A069-4231-BF40-78CA2DFA67D6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FA68181C-6971-4B99-9136-7917733C8C0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T-1</vt:lpstr>
      <vt:lpstr>T-2</vt:lpstr>
      <vt:lpstr>T-3</vt:lpstr>
      <vt:lpstr>T-4</vt:lpstr>
      <vt:lpstr>T-5</vt:lpstr>
      <vt:lpstr>T-6</vt:lpstr>
      <vt:lpstr>T-7</vt:lpstr>
      <vt:lpstr>T-8.1</vt:lpstr>
      <vt:lpstr>T-8.2</vt:lpstr>
      <vt:lpstr>T-8.3</vt:lpstr>
      <vt:lpstr>T-8.4</vt:lpstr>
      <vt:lpstr>T-9</vt:lpstr>
      <vt:lpstr>T-10</vt:lpstr>
    </vt:vector>
  </TitlesOfParts>
  <Company>BPA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BP-26 IPR</dc:title>
  <dc:subject/>
  <dc:creator>Ron Messinger</dc:creator>
  <cp:keywords/>
  <dc:description/>
  <cp:lastModifiedBy>Halbert,Brian D (BPA) - TSQR-TPP-2</cp:lastModifiedBy>
  <cp:lastPrinted>2024-10-04T00:04:19Z</cp:lastPrinted>
  <dcterms:created xsi:type="dcterms:W3CDTF">2005-12-25T16:26:24Z</dcterms:created>
  <dcterms:modified xsi:type="dcterms:W3CDTF">2025-07-18T19:19:18Z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Form</vt:lpwstr>
  </property>
  <property fmtid="{D5CDD505-2E9C-101B-9397-08002B2CF9AE}" pid="3" name="Subject">
    <vt:lpwstr/>
  </property>
  <property fmtid="{D5CDD505-2E9C-101B-9397-08002B2CF9AE}" pid="4" name="Keywords">
    <vt:lpwstr/>
  </property>
  <property fmtid="{D5CDD505-2E9C-101B-9397-08002B2CF9AE}" pid="5" name="_Author">
    <vt:lpwstr>Ron Messinger</vt:lpwstr>
  </property>
  <property fmtid="{D5CDD505-2E9C-101B-9397-08002B2CF9AE}" pid="6" name="_Category">
    <vt:lpwstr/>
  </property>
  <property fmtid="{D5CDD505-2E9C-101B-9397-08002B2CF9AE}" pid="7" name="Categories">
    <vt:lpwstr/>
  </property>
  <property fmtid="{D5CDD505-2E9C-101B-9397-08002B2CF9AE}" pid="8" name="Approval Level">
    <vt:lpwstr/>
  </property>
  <property fmtid="{D5CDD505-2E9C-101B-9397-08002B2CF9AE}" pid="9" name="_Comments">
    <vt:lpwstr/>
  </property>
  <property fmtid="{D5CDD505-2E9C-101B-9397-08002B2CF9AE}" pid="10" name="Assigned To">
    <vt:lpwstr/>
  </property>
  <property fmtid="{D5CDD505-2E9C-101B-9397-08002B2CF9AE}" pid="11" name="display_urn:schemas-microsoft-com:office:office#Editor">
    <vt:lpwstr>Bogdon,David W (BPA) - TSPQ-TPP-2</vt:lpwstr>
  </property>
  <property fmtid="{D5CDD505-2E9C-101B-9397-08002B2CF9AE}" pid="12" name="display_urn:schemas-microsoft-com:office:office#Author">
    <vt:lpwstr>Bogdon,David W (BPA) - TSPQ-TPP-2</vt:lpwstr>
  </property>
  <property fmtid="{D5CDD505-2E9C-101B-9397-08002B2CF9AE}" pid="13" name="Order">
    <vt:r8>21100</vt:r8>
  </property>
  <property fmtid="{D5CDD505-2E9C-101B-9397-08002B2CF9AE}" pid="14" name="TemplateUrl">
    <vt:lpwstr/>
  </property>
  <property fmtid="{D5CDD505-2E9C-101B-9397-08002B2CF9AE}" pid="15" name="xd_ProgID">
    <vt:lpwstr/>
  </property>
  <property fmtid="{D5CDD505-2E9C-101B-9397-08002B2CF9AE}" pid="16" name="SME Draft">
    <vt:lpwstr>Yes</vt:lpwstr>
  </property>
  <property fmtid="{D5CDD505-2E9C-101B-9397-08002B2CF9AE}" pid="17" name="Review Status: TESTIMONY">
    <vt:lpwstr>Yes</vt:lpwstr>
  </property>
  <property fmtid="{D5CDD505-2E9C-101B-9397-08002B2CF9AE}" pid="18" name="Mgmt Review">
    <vt:lpwstr>No</vt:lpwstr>
  </property>
  <property fmtid="{D5CDD505-2E9C-101B-9397-08002B2CF9AE}" pid="19" name="Legal Reviewed">
    <vt:lpwstr>No</vt:lpwstr>
  </property>
  <property fmtid="{D5CDD505-2E9C-101B-9397-08002B2CF9AE}" pid="20" name="Review Status">
    <vt:lpwstr>1900-12-31T16:00:00Z</vt:lpwstr>
  </property>
  <property fmtid="{D5CDD505-2E9C-101B-9397-08002B2CF9AE}" pid="21" name="Posted">
    <vt:lpwstr>No</vt:lpwstr>
  </property>
  <property fmtid="{D5CDD505-2E9C-101B-9397-08002B2CF9AE}" pid="22" name="Review Status: STUDY AND DOCUMENTATION">
    <vt:lpwstr>Yes</vt:lpwstr>
  </property>
  <property fmtid="{D5CDD505-2E9C-101B-9397-08002B2CF9AE}" pid="23" name="Material">
    <vt:lpwstr/>
  </property>
  <property fmtid="{D5CDD505-2E9C-101B-9397-08002B2CF9AE}" pid="24" name="ContentTypeId">
    <vt:lpwstr>0x010100D1780608AFBDEF40ADECA5E63357D2FD</vt:lpwstr>
  </property>
  <property fmtid="{D5CDD505-2E9C-101B-9397-08002B2CF9AE}" pid="25" name="Mgmt Reviewed">
    <vt:lpwstr>No</vt:lpwstr>
  </property>
  <property fmtid="{D5CDD505-2E9C-101B-9397-08002B2CF9AE}" pid="26" name="ShowRepairView">
    <vt:lpwstr/>
  </property>
  <property fmtid="{D5CDD505-2E9C-101B-9397-08002B2CF9AE}" pid="27" name="display_urn">
    <vt:lpwstr>Bogdon,David W (BPA) - TSPQ-TPP-2</vt:lpwstr>
  </property>
  <property fmtid="{D5CDD505-2E9C-101B-9397-08002B2CF9AE}" pid="28" name="xd_Signature">
    <vt:bool>false</vt:bool>
  </property>
</Properties>
</file>