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Projects\Stiffler\2024\Rate Design Projects\202402_Workshop1_Tier 1 Alternatives and Diurnal Proof\"/>
    </mc:Choice>
  </mc:AlternateContent>
  <xr:revisionPtr revIDLastSave="0" documentId="8_{7D4FDF98-DDF5-42B1-B6E0-E3D44BD65F86}" xr6:coauthVersionLast="47" xr6:coauthVersionMax="47" xr10:uidLastSave="{00000000-0000-0000-0000-000000000000}"/>
  <bookViews>
    <workbookView xWindow="-120" yWindow="-120" windowWidth="29040" windowHeight="15720" xr2:uid="{541CC9AD-C64C-47E5-ACA4-7C8F1C69451B}"/>
  </bookViews>
  <sheets>
    <sheet name="ScalarApproach" sheetId="4" r:id="rId1"/>
    <sheet name="Chart1" sheetId="6" r:id="rId2"/>
    <sheet name="SR TOCA Add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5" l="1"/>
  <c r="E6" i="5"/>
  <c r="F6" i="5"/>
  <c r="G6" i="5"/>
  <c r="H6" i="5"/>
  <c r="I6" i="5"/>
  <c r="J6" i="5"/>
  <c r="K6" i="5"/>
  <c r="L6" i="5"/>
  <c r="M6" i="5"/>
  <c r="N6" i="5"/>
  <c r="C6" i="5"/>
  <c r="E93" i="4"/>
  <c r="T23" i="4"/>
  <c r="F45" i="4"/>
  <c r="E49" i="4"/>
  <c r="T18" i="4" s="1"/>
  <c r="AG26" i="4"/>
  <c r="R48" i="4"/>
  <c r="R47" i="4"/>
  <c r="R45" i="4"/>
  <c r="R44" i="4"/>
  <c r="R42" i="4"/>
  <c r="R41" i="4"/>
  <c r="R39" i="4"/>
  <c r="R38" i="4"/>
  <c r="R36" i="4"/>
  <c r="R35" i="4"/>
  <c r="C57" i="4"/>
  <c r="C56" i="4"/>
  <c r="C50" i="4"/>
  <c r="C49" i="4"/>
  <c r="C43" i="4"/>
  <c r="C42" i="4"/>
  <c r="C36" i="4"/>
  <c r="C35" i="4"/>
  <c r="C29" i="4"/>
  <c r="AI10" i="4" s="1"/>
  <c r="AI18" i="4" s="1"/>
  <c r="C28" i="4"/>
  <c r="B101" i="4"/>
  <c r="B100" i="4"/>
  <c r="B94" i="4"/>
  <c r="B93" i="4"/>
  <c r="B87" i="4"/>
  <c r="B86" i="4"/>
  <c r="B80" i="4"/>
  <c r="B79" i="4"/>
  <c r="B73" i="4"/>
  <c r="B72" i="4"/>
  <c r="E7" i="4"/>
  <c r="AI8" i="4"/>
  <c r="AI16" i="4" s="1"/>
  <c r="AI9" i="4"/>
  <c r="AI17" i="4" s="1"/>
  <c r="T14" i="4"/>
  <c r="U14" i="4"/>
  <c r="V14" i="4"/>
  <c r="W14" i="4"/>
  <c r="X14" i="4"/>
  <c r="Y14" i="4"/>
  <c r="Z14" i="4"/>
  <c r="AA14" i="4"/>
  <c r="AB14" i="4"/>
  <c r="AC14" i="4"/>
  <c r="AD14" i="4"/>
  <c r="AE14" i="4"/>
  <c r="U13" i="4"/>
  <c r="V13" i="4"/>
  <c r="W13" i="4"/>
  <c r="X13" i="4"/>
  <c r="Y13" i="4"/>
  <c r="Z13" i="4"/>
  <c r="AA13" i="4"/>
  <c r="AB13" i="4"/>
  <c r="AC13" i="4"/>
  <c r="AD13" i="4"/>
  <c r="AE13" i="4"/>
  <c r="T13" i="4"/>
  <c r="Q55" i="4"/>
  <c r="Q48" i="4"/>
  <c r="Q41" i="4"/>
  <c r="Q34" i="4"/>
  <c r="Q27" i="4"/>
  <c r="AI7" i="4" l="1"/>
  <c r="AI15" i="4" s="1"/>
  <c r="AI6" i="4"/>
  <c r="AI14" i="4" s="1"/>
  <c r="Q22" i="4" l="1"/>
  <c r="E8" i="4"/>
  <c r="E52" i="4" l="1"/>
  <c r="F52" i="4" s="1"/>
  <c r="G57" i="4" s="1"/>
  <c r="E45" i="4"/>
  <c r="E31" i="4"/>
  <c r="F31" i="4" s="1"/>
  <c r="E38" i="4"/>
  <c r="F38" i="4" s="1"/>
  <c r="E42" i="4" s="1"/>
  <c r="C24" i="4"/>
  <c r="C38" i="4"/>
  <c r="D38" i="4" s="1"/>
  <c r="D82" i="4" s="1"/>
  <c r="C86" i="4" s="1"/>
  <c r="C87" i="4" s="1"/>
  <c r="C31" i="4"/>
  <c r="D31" i="4" s="1"/>
  <c r="D75" i="4" s="1"/>
  <c r="C79" i="4" s="1"/>
  <c r="C80" i="4" s="1"/>
  <c r="C52" i="4"/>
  <c r="D52" i="4" s="1"/>
  <c r="D96" i="4" s="1"/>
  <c r="C100" i="4" s="1"/>
  <c r="C101" i="4" s="1"/>
  <c r="C45" i="4"/>
  <c r="D45" i="4" s="1"/>
  <c r="D89" i="4" s="1"/>
  <c r="C93" i="4" s="1"/>
  <c r="C94" i="4" s="1"/>
  <c r="E24" i="4"/>
  <c r="F24" i="4" s="1"/>
  <c r="L28" i="4" l="1"/>
  <c r="F29" i="4"/>
  <c r="O28" i="4"/>
  <c r="G28" i="4"/>
  <c r="M29" i="4"/>
  <c r="P28" i="4"/>
  <c r="H28" i="4"/>
  <c r="N29" i="4"/>
  <c r="K28" i="4"/>
  <c r="I29" i="4"/>
  <c r="J29" i="4"/>
  <c r="J28" i="4"/>
  <c r="P29" i="4"/>
  <c r="G29" i="4"/>
  <c r="F28" i="4"/>
  <c r="I28" i="4"/>
  <c r="H29" i="4"/>
  <c r="O29" i="4"/>
  <c r="E28" i="4"/>
  <c r="N28" i="4"/>
  <c r="E29" i="4"/>
  <c r="K29" i="4"/>
  <c r="M28" i="4"/>
  <c r="L29" i="4"/>
  <c r="E35" i="4"/>
  <c r="L35" i="4"/>
  <c r="I35" i="4"/>
  <c r="P35" i="4"/>
  <c r="P36" i="4"/>
  <c r="M35" i="4"/>
  <c r="L36" i="4"/>
  <c r="K35" i="4"/>
  <c r="E36" i="4"/>
  <c r="F35" i="4"/>
  <c r="I36" i="4"/>
  <c r="J35" i="4"/>
  <c r="N36" i="4"/>
  <c r="K36" i="4"/>
  <c r="M36" i="4"/>
  <c r="N35" i="4"/>
  <c r="H35" i="4"/>
  <c r="G35" i="4"/>
  <c r="F36" i="4"/>
  <c r="H36" i="4"/>
  <c r="O35" i="4"/>
  <c r="J36" i="4"/>
  <c r="G36" i="4"/>
  <c r="O36" i="4"/>
  <c r="D15" i="4"/>
  <c r="L49" i="4"/>
  <c r="P49" i="4"/>
  <c r="H49" i="4"/>
  <c r="P50" i="4"/>
  <c r="L50" i="4"/>
  <c r="H50" i="4"/>
  <c r="K50" i="4"/>
  <c r="F49" i="4"/>
  <c r="K49" i="4"/>
  <c r="I49" i="4"/>
  <c r="J49" i="4"/>
  <c r="N50" i="4"/>
  <c r="O49" i="4"/>
  <c r="M49" i="4"/>
  <c r="N49" i="4"/>
  <c r="G50" i="4"/>
  <c r="E50" i="4"/>
  <c r="F50" i="4"/>
  <c r="G49" i="4"/>
  <c r="I50" i="4"/>
  <c r="J50" i="4"/>
  <c r="O50" i="4"/>
  <c r="M50" i="4"/>
  <c r="D16" i="4"/>
  <c r="N43" i="4"/>
  <c r="J42" i="4"/>
  <c r="I42" i="4"/>
  <c r="O42" i="4"/>
  <c r="N57" i="4"/>
  <c r="J56" i="4"/>
  <c r="I56" i="4"/>
  <c r="G56" i="4"/>
  <c r="F42" i="4"/>
  <c r="O43" i="4"/>
  <c r="F56" i="4"/>
  <c r="K57" i="4"/>
  <c r="F43" i="4"/>
  <c r="E43" i="4"/>
  <c r="K43" i="4"/>
  <c r="F57" i="4"/>
  <c r="E57" i="4"/>
  <c r="O56" i="4"/>
  <c r="N42" i="4"/>
  <c r="M42" i="4"/>
  <c r="G43" i="4"/>
  <c r="N56" i="4"/>
  <c r="M56" i="4"/>
  <c r="K56" i="4"/>
  <c r="E56" i="4"/>
  <c r="D13" i="4"/>
  <c r="C8" i="5" s="1"/>
  <c r="D17" i="4"/>
  <c r="D14" i="4"/>
  <c r="M43" i="4"/>
  <c r="H42" i="4"/>
  <c r="M57" i="4"/>
  <c r="O57" i="4"/>
  <c r="D24" i="4"/>
  <c r="D68" i="4" s="1"/>
  <c r="C72" i="4" s="1"/>
  <c r="C73" i="4" s="1"/>
  <c r="J43" i="4"/>
  <c r="I43" i="4"/>
  <c r="K42" i="4"/>
  <c r="K86" i="4" s="1"/>
  <c r="J57" i="4"/>
  <c r="I57" i="4"/>
  <c r="P57" i="4"/>
  <c r="H43" i="4"/>
  <c r="P43" i="4"/>
  <c r="G42" i="4"/>
  <c r="H57" i="4"/>
  <c r="L57" i="4"/>
  <c r="P56" i="4"/>
  <c r="L42" i="4"/>
  <c r="P42" i="4"/>
  <c r="L43" i="4"/>
  <c r="L87" i="4" s="1"/>
  <c r="H56" i="4"/>
  <c r="L56" i="4"/>
  <c r="AC19" i="4" l="1"/>
  <c r="Z18" i="4"/>
  <c r="AB18" i="4"/>
  <c r="AD18" i="4"/>
  <c r="Y18" i="4"/>
  <c r="U18" i="4"/>
  <c r="U23" i="4" s="1"/>
  <c r="AB19" i="4"/>
  <c r="AA19" i="4"/>
  <c r="AA24" i="4" s="1"/>
  <c r="AE19" i="4"/>
  <c r="X18" i="4"/>
  <c r="Y19" i="4"/>
  <c r="W18" i="4"/>
  <c r="AE18" i="4"/>
  <c r="Z19" i="4"/>
  <c r="Z24" i="4" s="1"/>
  <c r="V18" i="4"/>
  <c r="U19" i="4"/>
  <c r="T19" i="4"/>
  <c r="AA18" i="4"/>
  <c r="AC18" i="4"/>
  <c r="AD19" i="4"/>
  <c r="AD24" i="4" s="1"/>
  <c r="W19" i="4"/>
  <c r="W24" i="4" s="1"/>
  <c r="X19" i="4"/>
  <c r="H87" i="4"/>
  <c r="V19" i="4"/>
  <c r="V24" i="4" s="1"/>
  <c r="P86" i="4"/>
  <c r="K101" i="4"/>
  <c r="E86" i="4"/>
  <c r="G101" i="4"/>
  <c r="I87" i="4"/>
  <c r="L101" i="4"/>
  <c r="O101" i="4"/>
  <c r="K100" i="4"/>
  <c r="F101" i="4"/>
  <c r="G100" i="4"/>
  <c r="L100" i="4"/>
  <c r="I101" i="4"/>
  <c r="H101" i="4"/>
  <c r="P101" i="4"/>
  <c r="H100" i="4"/>
  <c r="M101" i="4"/>
  <c r="P100" i="4"/>
  <c r="N100" i="4"/>
  <c r="J101" i="4"/>
  <c r="M100" i="4"/>
  <c r="F100" i="4"/>
  <c r="I100" i="4"/>
  <c r="M86" i="4"/>
  <c r="O86" i="4"/>
  <c r="O94" i="4"/>
  <c r="M9" i="5" s="1"/>
  <c r="F94" i="4"/>
  <c r="D9" i="5" s="1"/>
  <c r="M93" i="4"/>
  <c r="K8" i="5" s="1"/>
  <c r="J93" i="4"/>
  <c r="H8" i="5" s="1"/>
  <c r="H10" i="5" s="1"/>
  <c r="H12" i="5" s="1"/>
  <c r="K94" i="4"/>
  <c r="I9" i="5" s="1"/>
  <c r="H93" i="4"/>
  <c r="F8" i="5" s="1"/>
  <c r="O80" i="4"/>
  <c r="H80" i="4"/>
  <c r="N79" i="4"/>
  <c r="J79" i="4"/>
  <c r="K79" i="4"/>
  <c r="P79" i="4"/>
  <c r="L73" i="4"/>
  <c r="AC23" i="4"/>
  <c r="N72" i="4"/>
  <c r="I72" i="4"/>
  <c r="X23" i="4"/>
  <c r="J72" i="4"/>
  <c r="Y23" i="4"/>
  <c r="N73" i="4"/>
  <c r="AC24" i="4"/>
  <c r="G72" i="4"/>
  <c r="V23" i="4"/>
  <c r="N86" i="4"/>
  <c r="K87" i="4"/>
  <c r="I86" i="4"/>
  <c r="J94" i="4"/>
  <c r="H9" i="5" s="1"/>
  <c r="E94" i="4"/>
  <c r="C9" i="5" s="1"/>
  <c r="C10" i="5" s="1"/>
  <c r="C12" i="5" s="1"/>
  <c r="O93" i="4"/>
  <c r="M8" i="5" s="1"/>
  <c r="M10" i="5" s="1"/>
  <c r="M12" i="5" s="1"/>
  <c r="I93" i="4"/>
  <c r="G8" i="5" s="1"/>
  <c r="H94" i="4"/>
  <c r="F9" i="5" s="1"/>
  <c r="P93" i="4"/>
  <c r="N8" i="5" s="1"/>
  <c r="G80" i="4"/>
  <c r="F80" i="4"/>
  <c r="M80" i="4"/>
  <c r="I80" i="4"/>
  <c r="L80" i="4"/>
  <c r="I79" i="4"/>
  <c r="AB23" i="4"/>
  <c r="M72" i="4"/>
  <c r="E72" i="4"/>
  <c r="F72" i="4"/>
  <c r="Y24" i="4"/>
  <c r="J73" i="4"/>
  <c r="W23" i="4"/>
  <c r="H72" i="4"/>
  <c r="AD23" i="4"/>
  <c r="O72" i="4"/>
  <c r="L86" i="4"/>
  <c r="G86" i="4"/>
  <c r="J87" i="4"/>
  <c r="H86" i="4"/>
  <c r="O100" i="4"/>
  <c r="E87" i="4"/>
  <c r="O87" i="4"/>
  <c r="J100" i="4"/>
  <c r="J86" i="4"/>
  <c r="I94" i="4"/>
  <c r="G9" i="5" s="1"/>
  <c r="G94" i="4"/>
  <c r="E9" i="5" s="1"/>
  <c r="K93" i="4"/>
  <c r="I8" i="5" s="1"/>
  <c r="I10" i="5" s="1"/>
  <c r="I12" i="5" s="1"/>
  <c r="L94" i="4"/>
  <c r="J9" i="5" s="1"/>
  <c r="L93" i="4"/>
  <c r="J8" i="5" s="1"/>
  <c r="J10" i="5" s="1"/>
  <c r="J12" i="5" s="1"/>
  <c r="J80" i="4"/>
  <c r="G79" i="4"/>
  <c r="K80" i="4"/>
  <c r="F79" i="4"/>
  <c r="M79" i="4"/>
  <c r="L79" i="4"/>
  <c r="K73" i="4"/>
  <c r="O73" i="4"/>
  <c r="G73" i="4"/>
  <c r="X24" i="4"/>
  <c r="I73" i="4"/>
  <c r="AE23" i="4"/>
  <c r="P72" i="4"/>
  <c r="F73" i="4"/>
  <c r="U24" i="4"/>
  <c r="P87" i="4"/>
  <c r="M87" i="4"/>
  <c r="E100" i="4"/>
  <c r="G87" i="4"/>
  <c r="E101" i="4"/>
  <c r="F87" i="4"/>
  <c r="F86" i="4"/>
  <c r="N101" i="4"/>
  <c r="N87" i="4"/>
  <c r="M94" i="4"/>
  <c r="K9" i="5" s="1"/>
  <c r="G93" i="4"/>
  <c r="E8" i="5" s="1"/>
  <c r="E10" i="5" s="1"/>
  <c r="E12" i="5" s="1"/>
  <c r="N93" i="4"/>
  <c r="L8" i="5" s="1"/>
  <c r="N94" i="4"/>
  <c r="L9" i="5" s="1"/>
  <c r="F93" i="4"/>
  <c r="D8" i="5" s="1"/>
  <c r="P94" i="4"/>
  <c r="N9" i="5" s="1"/>
  <c r="O79" i="4"/>
  <c r="H79" i="4"/>
  <c r="N80" i="4"/>
  <c r="E80" i="4"/>
  <c r="P80" i="4"/>
  <c r="E79" i="4"/>
  <c r="E73" i="4"/>
  <c r="T24" i="4"/>
  <c r="H73" i="4"/>
  <c r="AE24" i="4"/>
  <c r="P73" i="4"/>
  <c r="Z23" i="4"/>
  <c r="K72" i="4"/>
  <c r="M73" i="4"/>
  <c r="AB24" i="4"/>
  <c r="AA23" i="4"/>
  <c r="L72" i="4"/>
  <c r="G22" i="5" l="1"/>
  <c r="C22" i="5"/>
  <c r="N10" i="5"/>
  <c r="N12" i="5" s="1"/>
  <c r="D10" i="5"/>
  <c r="D12" i="5" s="1"/>
  <c r="D22" i="5" s="1"/>
  <c r="K10" i="5"/>
  <c r="K12" i="5" s="1"/>
  <c r="O12" i="5" s="1"/>
  <c r="G10" i="5"/>
  <c r="G12" i="5" s="1"/>
  <c r="F10" i="5"/>
  <c r="F12" i="5" s="1"/>
  <c r="L10" i="5"/>
  <c r="L12" i="5" s="1"/>
  <c r="Q100" i="4"/>
  <c r="AK9" i="4" s="1"/>
  <c r="Q86" i="4"/>
  <c r="AK10" i="4" s="1"/>
  <c r="Q79" i="4"/>
  <c r="AK7" i="4" s="1"/>
  <c r="Q93" i="4"/>
  <c r="AK6" i="4" s="1"/>
  <c r="AF24" i="4"/>
  <c r="Q72" i="4"/>
  <c r="AK8" i="4" s="1"/>
  <c r="M22" i="5" l="1"/>
  <c r="N22" i="5"/>
  <c r="I22" i="5"/>
  <c r="L22" i="5"/>
  <c r="J22" i="5"/>
  <c r="E22" i="5"/>
  <c r="H22" i="5"/>
  <c r="F22" i="5"/>
  <c r="K22" i="5"/>
  <c r="E5" i="4"/>
  <c r="E6" i="4" s="1"/>
  <c r="AJ6" i="4" s="1"/>
  <c r="AJ7" i="4" l="1"/>
  <c r="AL7" i="4" s="1"/>
  <c r="AJ9" i="4"/>
  <c r="AL9" i="4" s="1"/>
  <c r="AJ8" i="4"/>
  <c r="AL8" i="4" s="1"/>
  <c r="AJ10" i="4"/>
  <c r="AL10" i="4" s="1"/>
  <c r="AG27" i="4"/>
  <c r="U31" i="4" s="1"/>
  <c r="AL6" i="4"/>
  <c r="X31" i="4" l="1"/>
  <c r="V30" i="4"/>
  <c r="AE31" i="4"/>
  <c r="AE30" i="4"/>
  <c r="Z30" i="4"/>
  <c r="U36" i="4"/>
  <c r="D16" i="5" s="1"/>
  <c r="U48" i="4"/>
  <c r="U45" i="4"/>
  <c r="U42" i="4"/>
  <c r="U39" i="4"/>
  <c r="AC31" i="4"/>
  <c r="Y30" i="4"/>
  <c r="V31" i="4"/>
  <c r="X30" i="4"/>
  <c r="AD31" i="4"/>
  <c r="W31" i="4"/>
  <c r="AA31" i="4"/>
  <c r="AB30" i="4"/>
  <c r="U30" i="4"/>
  <c r="AB31" i="4"/>
  <c r="Y31" i="4"/>
  <c r="Z31" i="4"/>
  <c r="W30" i="4"/>
  <c r="AC30" i="4"/>
  <c r="T31" i="4"/>
  <c r="T30" i="4"/>
  <c r="AD30" i="4"/>
  <c r="AA30" i="4"/>
  <c r="T47" i="4" l="1"/>
  <c r="T44" i="4"/>
  <c r="T41" i="4"/>
  <c r="T38" i="4"/>
  <c r="T35" i="4"/>
  <c r="C15" i="5" s="1"/>
  <c r="Z48" i="4"/>
  <c r="Z45" i="4"/>
  <c r="Z42" i="4"/>
  <c r="Z39" i="4"/>
  <c r="Z36" i="4"/>
  <c r="I16" i="5" s="1"/>
  <c r="AB47" i="4"/>
  <c r="AB44" i="4"/>
  <c r="AB41" i="4"/>
  <c r="AB38" i="4"/>
  <c r="AB35" i="4"/>
  <c r="K15" i="5" s="1"/>
  <c r="X47" i="4"/>
  <c r="X44" i="4"/>
  <c r="X41" i="4"/>
  <c r="X38" i="4"/>
  <c r="X35" i="4"/>
  <c r="G15" i="5" s="1"/>
  <c r="T48" i="4"/>
  <c r="T45" i="4"/>
  <c r="T42" i="4"/>
  <c r="T39" i="4"/>
  <c r="T36" i="4"/>
  <c r="C16" i="5" s="1"/>
  <c r="Y36" i="4"/>
  <c r="H16" i="5" s="1"/>
  <c r="Y48" i="4"/>
  <c r="Y45" i="4"/>
  <c r="Y42" i="4"/>
  <c r="Y39" i="4"/>
  <c r="AA36" i="4"/>
  <c r="J16" i="5" s="1"/>
  <c r="AA48" i="4"/>
  <c r="AA45" i="4"/>
  <c r="AA42" i="4"/>
  <c r="AA39" i="4"/>
  <c r="V48" i="4"/>
  <c r="V45" i="4"/>
  <c r="V42" i="4"/>
  <c r="V39" i="4"/>
  <c r="V36" i="4"/>
  <c r="E16" i="5" s="1"/>
  <c r="AA47" i="4"/>
  <c r="AA44" i="4"/>
  <c r="AA41" i="4"/>
  <c r="AA38" i="4"/>
  <c r="AA35" i="4"/>
  <c r="J15" i="5" s="1"/>
  <c r="AC35" i="4"/>
  <c r="L15" i="5" s="1"/>
  <c r="AC47" i="4"/>
  <c r="AC44" i="4"/>
  <c r="AC41" i="4"/>
  <c r="AC38" i="4"/>
  <c r="AB48" i="4"/>
  <c r="AB45" i="4"/>
  <c r="AB42" i="4"/>
  <c r="AB39" i="4"/>
  <c r="AB36" i="4"/>
  <c r="K16" i="5" s="1"/>
  <c r="W36" i="4"/>
  <c r="F16" i="5" s="1"/>
  <c r="W48" i="4"/>
  <c r="W45" i="4"/>
  <c r="W42" i="4"/>
  <c r="W39" i="4"/>
  <c r="Y35" i="4"/>
  <c r="H15" i="5" s="1"/>
  <c r="Y47" i="4"/>
  <c r="Y44" i="4"/>
  <c r="Y41" i="4"/>
  <c r="Y38" i="4"/>
  <c r="AE47" i="4"/>
  <c r="AE44" i="4"/>
  <c r="AE41" i="4"/>
  <c r="AE38" i="4"/>
  <c r="AE35" i="4"/>
  <c r="N15" i="5" s="1"/>
  <c r="AD47" i="4"/>
  <c r="AD44" i="4"/>
  <c r="AD41" i="4"/>
  <c r="AD38" i="4"/>
  <c r="AD35" i="4"/>
  <c r="M15" i="5" s="1"/>
  <c r="M18" i="5" s="1"/>
  <c r="W47" i="4"/>
  <c r="W44" i="4"/>
  <c r="W41" i="4"/>
  <c r="W38" i="4"/>
  <c r="W35" i="4"/>
  <c r="F15" i="5" s="1"/>
  <c r="F18" i="5" s="1"/>
  <c r="U35" i="4"/>
  <c r="D15" i="5" s="1"/>
  <c r="D18" i="5" s="1"/>
  <c r="U47" i="4"/>
  <c r="U44" i="4"/>
  <c r="U41" i="4"/>
  <c r="U38" i="4"/>
  <c r="AD48" i="4"/>
  <c r="AD45" i="4"/>
  <c r="AD42" i="4"/>
  <c r="AD39" i="4"/>
  <c r="AD36" i="4"/>
  <c r="M16" i="5" s="1"/>
  <c r="AC36" i="4"/>
  <c r="L16" i="5" s="1"/>
  <c r="AC48" i="4"/>
  <c r="AC45" i="4"/>
  <c r="AC42" i="4"/>
  <c r="AC39" i="4"/>
  <c r="AE36" i="4"/>
  <c r="N16" i="5" s="1"/>
  <c r="AE48" i="4"/>
  <c r="AE45" i="4"/>
  <c r="AE42" i="4"/>
  <c r="AE39" i="4"/>
  <c r="V47" i="4"/>
  <c r="V44" i="4"/>
  <c r="V41" i="4"/>
  <c r="V38" i="4"/>
  <c r="V35" i="4"/>
  <c r="E15" i="5" s="1"/>
  <c r="Z47" i="4"/>
  <c r="Z44" i="4"/>
  <c r="Z41" i="4"/>
  <c r="Z38" i="4"/>
  <c r="Z35" i="4"/>
  <c r="I15" i="5" s="1"/>
  <c r="I18" i="5" s="1"/>
  <c r="X48" i="4"/>
  <c r="X45" i="4"/>
  <c r="X42" i="4"/>
  <c r="X39" i="4"/>
  <c r="X36" i="4"/>
  <c r="G16" i="5" s="1"/>
  <c r="K18" i="5" l="1"/>
  <c r="G18" i="5"/>
  <c r="H18" i="5"/>
  <c r="L18" i="5"/>
  <c r="N18" i="5"/>
  <c r="E18" i="5"/>
  <c r="J18" i="5"/>
  <c r="C18" i="5"/>
  <c r="O18" i="5"/>
  <c r="AF39" i="4"/>
  <c r="AF38" i="4"/>
  <c r="AJ15" i="4" s="1"/>
  <c r="AF42" i="4"/>
  <c r="AF41" i="4"/>
  <c r="AF44" i="4"/>
  <c r="AJ17" i="4" s="1"/>
  <c r="AF45" i="4"/>
  <c r="AF36" i="4"/>
  <c r="AK14" i="4" s="1"/>
  <c r="AF48" i="4"/>
  <c r="AK18" i="4" s="1"/>
  <c r="AF35" i="4"/>
  <c r="AF47" i="4"/>
  <c r="AJ18" i="4" s="1"/>
  <c r="AK16" i="4"/>
  <c r="AJ16" i="4"/>
  <c r="AJ14" i="4"/>
  <c r="AK15" i="4"/>
  <c r="AK17" i="4"/>
  <c r="E23" i="5" l="1"/>
  <c r="I23" i="5"/>
  <c r="M23" i="5"/>
  <c r="L23" i="5"/>
  <c r="F23" i="5"/>
  <c r="J23" i="5"/>
  <c r="N23" i="5"/>
  <c r="D23" i="5"/>
  <c r="H23" i="5"/>
  <c r="G23" i="5"/>
  <c r="K23" i="5"/>
  <c r="C23" i="5"/>
  <c r="AL18" i="4"/>
  <c r="AL16" i="4"/>
  <c r="AL17" i="4"/>
  <c r="AL14" i="4"/>
  <c r="AL15" i="4"/>
</calcChain>
</file>

<file path=xl/sharedStrings.xml><?xml version="1.0" encoding="utf-8"?>
<sst xmlns="http://schemas.openxmlformats.org/spreadsheetml/2006/main" count="337" uniqueCount="75">
  <si>
    <t>HLH</t>
  </si>
  <si>
    <t>LLH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</si>
  <si>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</si>
  <si>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</si>
  <si>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</si>
  <si>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</si>
  <si>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</si>
  <si>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</si>
  <si>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</si>
  <si>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</si>
  <si>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</si>
  <si>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</si>
  <si>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</si>
  <si>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</si>
  <si>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TOCA</t>
  </si>
  <si>
    <t>Load Shaping Charge</t>
  </si>
  <si>
    <t>Load Shaping Rates (Marginal, pull from BP-24)</t>
  </si>
  <si>
    <t>Repeat for all 5 Customers</t>
  </si>
  <si>
    <t>HLH and LLH Energy Rates</t>
  </si>
  <si>
    <t xml:space="preserve">Scalar </t>
  </si>
  <si>
    <t>Sum</t>
  </si>
  <si>
    <t>Revenue Collected at Marginal Rates</t>
  </si>
  <si>
    <t>Benchmark TOCA Shape for Load Shaping Billing Determinants.  Create a MWh Benchmark Shape, any shape you want in 24 bins.</t>
  </si>
  <si>
    <t>Customer 5</t>
  </si>
  <si>
    <t>Customer 4</t>
  </si>
  <si>
    <t>Customer 3</t>
  </si>
  <si>
    <t>Sum Customer MWh from TOCA Approach</t>
  </si>
  <si>
    <t>Customer 2</t>
  </si>
  <si>
    <t>Customer 1</t>
  </si>
  <si>
    <t>Take F13 and divide it by 100 to calculate an annual $/% TOCA Rate</t>
  </si>
  <si>
    <t>Effective Rate</t>
  </si>
  <si>
    <t>LLH Rev</t>
  </si>
  <si>
    <t>HLH Rev</t>
  </si>
  <si>
    <t>MWh Purchased</t>
  </si>
  <si>
    <t>Take E6 minus Total Load Shaping Revenue to calculate the amount of RR needed to be collected from Customer Charges</t>
  </si>
  <si>
    <t>HLH and LLH Energy Approach</t>
  </si>
  <si>
    <t>Customer Charge</t>
  </si>
  <si>
    <t>Customers</t>
  </si>
  <si>
    <t>TOCA + Load Shaping = Tier 1 Energy</t>
  </si>
  <si>
    <t>HLH AND LLH APPROACH</t>
  </si>
  <si>
    <t>TOCA APPROACH</t>
  </si>
  <si>
    <t>Populate Yellow Areas with values that cause E8 to equal $35/MWh</t>
  </si>
  <si>
    <t>Average Effective $/MWh Rate</t>
  </si>
  <si>
    <t>Sum Energy in E18:P19</t>
  </si>
  <si>
    <t>TOCA Charge</t>
  </si>
  <si>
    <t>TOCA Approach</t>
  </si>
  <si>
    <t>Total Load Shaping Revenue from 5 customers</t>
  </si>
  <si>
    <t>Revenue Requirement</t>
  </si>
  <si>
    <t>Load Shaping Revenue</t>
  </si>
  <si>
    <t>&lt;--target MWh</t>
  </si>
  <si>
    <t>Total</t>
  </si>
  <si>
    <t>Load Shaping Revenues = Load Shaping Billing Determinates * Load Shaping Rates</t>
  </si>
  <si>
    <t>Revenue Requirement less Load Shaping Revenue</t>
  </si>
  <si>
    <t>Revenues from Diurnal Rates</t>
  </si>
  <si>
    <t>LS on LLH Energy</t>
  </si>
  <si>
    <t>Energy HLH Charge</t>
  </si>
  <si>
    <t>Energy LLH Charge</t>
  </si>
  <si>
    <t>Total PRDM Diurnal Energy Charges</t>
  </si>
  <si>
    <t>TRM Cumulative Sum</t>
  </si>
  <si>
    <t>PRDM Diurnal Energy Cumulative Sum</t>
  </si>
  <si>
    <t>(1)</t>
  </si>
  <si>
    <t>(2)</t>
  </si>
  <si>
    <t>(3)</t>
  </si>
  <si>
    <t>(4)</t>
  </si>
  <si>
    <t>(5)</t>
  </si>
  <si>
    <t>(6)</t>
  </si>
  <si>
    <t>(7)</t>
  </si>
  <si>
    <t>(8)</t>
  </si>
  <si>
    <t>Customer Charges (TOCA * Composite+Non-Slice)</t>
  </si>
  <si>
    <t>Total TRM Charges [(1) + (4)]</t>
  </si>
  <si>
    <t>Total [(2) + (3)]</t>
  </si>
  <si>
    <t>LS on HLH Energy (Load - System Shaped Load * Market Rates)</t>
  </si>
  <si>
    <t>Example Customer Monthly Bills under TRM Rate Design vs. Shaped Diurnal Energy Charges</t>
  </si>
  <si>
    <t>TRM</t>
  </si>
  <si>
    <t>PRDM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</si>
</sst>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6" formatCode="_(&quot;$&quot;* #,##0_);_(&quot;$&quot;* \(#,##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14"/>
      <color theme="4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164" fontId="0" fillId="0" borderId="0" xfId="1" applyNumberFormat="1" applyFont="1"/>
    <xf numFmtId="43" fontId="0" fillId="0" borderId="0" xfId="0" applyNumberFormat="1"/>
    <xf numFmtId="9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/>
    <xf numFmtId="43" fontId="0" fillId="0" borderId="0" xfId="1" applyFont="1"/>
    <xf numFmtId="0" fontId="0" fillId="2" borderId="4" xfId="0" applyFill="1" applyBorder="1"/>
    <xf numFmtId="164" fontId="0" fillId="2" borderId="4" xfId="1" applyNumberFormat="1" applyFont="1" applyFill="1" applyBorder="1"/>
    <xf numFmtId="164" fontId="0" fillId="0" borderId="0" xfId="1" applyNumberFormat="1" applyFont="1" applyFill="1"/>
    <xf numFmtId="9" fontId="0" fillId="0" borderId="0" xfId="3" applyFont="1" applyFill="1"/>
    <xf numFmtId="164" fontId="0" fillId="0" borderId="0" xfId="0" applyNumberFormat="1"/>
    <xf numFmtId="164" fontId="3" fillId="0" borderId="0" xfId="1" applyNumberFormat="1" applyFont="1" applyFill="1" applyBorder="1"/>
    <xf numFmtId="164" fontId="4" fillId="0" borderId="0" xfId="1" applyNumberFormat="1" applyFont="1" applyFill="1"/>
    <xf numFmtId="164" fontId="3" fillId="0" borderId="0" xfId="0" applyNumberFormat="1" applyFont="1"/>
    <xf numFmtId="164" fontId="3" fillId="0" borderId="0" xfId="1" applyNumberFormat="1" applyFont="1"/>
    <xf numFmtId="164" fontId="4" fillId="0" borderId="0" xfId="0" applyNumberFormat="1" applyFont="1"/>
    <xf numFmtId="0" fontId="0" fillId="3" borderId="0" xfId="0" applyFill="1"/>
    <xf numFmtId="164" fontId="1" fillId="0" borderId="0" xfId="1" applyNumberFormat="1" applyFont="1" applyFill="1" applyBorder="1"/>
    <xf numFmtId="166" fontId="1" fillId="0" borderId="0" xfId="2" applyNumberFormat="1" applyFont="1" applyFill="1" applyBorder="1"/>
    <xf numFmtId="43" fontId="1" fillId="0" borderId="0" xfId="1" applyFont="1" applyFill="1" applyBorder="1"/>
    <xf numFmtId="166" fontId="0" fillId="0" borderId="0" xfId="0" applyNumberFormat="1"/>
    <xf numFmtId="0" fontId="0" fillId="4" borderId="0" xfId="0" applyFill="1"/>
    <xf numFmtId="0" fontId="5" fillId="4" borderId="0" xfId="0" applyFont="1" applyFill="1"/>
    <xf numFmtId="0" fontId="2" fillId="4" borderId="0" xfId="0" applyFont="1" applyFill="1"/>
    <xf numFmtId="0" fontId="0" fillId="4" borderId="0" xfId="0" quotePrefix="1" applyFill="1" applyAlignment="1">
      <alignment horizontal="right"/>
    </xf>
    <xf numFmtId="0" fontId="0" fillId="4" borderId="0" xfId="0" applyFill="1" applyAlignment="1">
      <alignment horizontal="right"/>
    </xf>
    <xf numFmtId="166" fontId="2" fillId="4" borderId="4" xfId="0" applyNumberFormat="1" applyFont="1" applyFill="1" applyBorder="1"/>
    <xf numFmtId="166" fontId="2" fillId="4" borderId="4" xfId="2" applyNumberFormat="1" applyFont="1" applyFill="1" applyBorder="1"/>
    <xf numFmtId="166" fontId="6" fillId="4" borderId="5" xfId="2" applyNumberFormat="1" applyFont="1" applyFill="1" applyBorder="1"/>
    <xf numFmtId="166" fontId="6" fillId="4" borderId="0" xfId="2" applyNumberFormat="1" applyFont="1" applyFill="1"/>
    <xf numFmtId="0" fontId="6" fillId="4" borderId="0" xfId="0" applyFont="1" applyFill="1"/>
    <xf numFmtId="166" fontId="6" fillId="4" borderId="6" xfId="2" applyNumberFormat="1" applyFont="1" applyFill="1" applyBorder="1"/>
    <xf numFmtId="166" fontId="6" fillId="4" borderId="7" xfId="2" applyNumberFormat="1" applyFont="1" applyFill="1" applyBorder="1"/>
    <xf numFmtId="166" fontId="6" fillId="4" borderId="6" xfId="0" applyNumberFormat="1" applyFont="1" applyFill="1" applyBorder="1"/>
    <xf numFmtId="166" fontId="6" fillId="4" borderId="7" xfId="0" applyNumberFormat="1" applyFont="1" applyFill="1" applyBorder="1"/>
    <xf numFmtId="0" fontId="2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Cash Flow Difference between TRM</a:t>
            </a:r>
            <a:r>
              <a:rPr lang="en-US" baseline="0"/>
              <a:t> and proposed PRDM Rate Designs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'SR TOCA Add'!$B$22</c:f>
              <c:strCache>
                <c:ptCount val="1"/>
                <c:pt idx="0">
                  <c:v>TRM Cumulative Sum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'SR TOCA Add'!$C$4:$N$4</c:f>
              <c:strCache>
                <c:ptCount val="12"/>
                <c:pt idx="0">
                  <c:v>Oct</c:v>
                </c:pt>
                <c:pt idx="1">
                  <c:v>Nov</c:v>
                </c:pt>
                <c:pt idx="2">
                  <c:v>Dec</c:v>
                </c:pt>
                <c:pt idx="3">
                  <c:v>Jan</c:v>
                </c:pt>
                <c:pt idx="4">
                  <c:v>Feb</c:v>
                </c:pt>
                <c:pt idx="5">
                  <c:v>Mar</c:v>
                </c:pt>
                <c:pt idx="6">
                  <c:v>Apr</c:v>
                </c:pt>
                <c:pt idx="7">
                  <c:v>May</c:v>
                </c:pt>
                <c:pt idx="8">
                  <c:v>Jun</c:v>
                </c:pt>
                <c:pt idx="9">
                  <c:v>Jul</c:v>
                </c:pt>
                <c:pt idx="10">
                  <c:v>Aug</c:v>
                </c:pt>
                <c:pt idx="11">
                  <c:v>Sep</c:v>
                </c:pt>
              </c:strCache>
            </c:strRef>
          </c:cat>
          <c:val>
            <c:numRef>
              <c:f>'SR TOCA Add'!$C$22:$N$22</c:f>
              <c:numCache>
                <c:formatCode>_("$"* #,##0_);_("$"* \(#,##0\);_("$"* "-"??_);_(@_)</c:formatCode>
                <c:ptCount val="12"/>
                <c:pt idx="0">
                  <c:v>53339.37325612377</c:v>
                </c:pt>
                <c:pt idx="1">
                  <c:v>96185.433822400068</c:v>
                </c:pt>
                <c:pt idx="2">
                  <c:v>152213.58943853562</c:v>
                </c:pt>
                <c:pt idx="3">
                  <c:v>201278.21234521561</c:v>
                </c:pt>
                <c:pt idx="4">
                  <c:v>245542.10369519927</c:v>
                </c:pt>
                <c:pt idx="5">
                  <c:v>290128.50066519331</c:v>
                </c:pt>
                <c:pt idx="6">
                  <c:v>346463.74069427024</c:v>
                </c:pt>
                <c:pt idx="7">
                  <c:v>400555.00571752491</c:v>
                </c:pt>
                <c:pt idx="8">
                  <c:v>453636.15402278106</c:v>
                </c:pt>
                <c:pt idx="9">
                  <c:v>528847.42590239737</c:v>
                </c:pt>
                <c:pt idx="10">
                  <c:v>609502.31184269942</c:v>
                </c:pt>
                <c:pt idx="11">
                  <c:v>668860.64136933885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D9-4792-B3E2-B946E3FDA7C6}"/>
            </c:ext>
          </c:extLst>
        </c:ser>
        <c:ser>
          <c:idx val="1"/>
          <c:order val="1"/>
          <c:tx>
            <c:strRef>
              <c:f>'SR TOCA Add'!$B$23</c:f>
              <c:strCache>
                <c:ptCount val="1"/>
                <c:pt idx="0">
                  <c:v>PRDM Diurnal Energy Cumulative Sum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'SR TOCA Add'!$C$4:$N$4</c:f>
              <c:strCache>
                <c:ptCount val="12"/>
                <c:pt idx="0">
                  <c:v>Oct</c:v>
                </c:pt>
                <c:pt idx="1">
                  <c:v>Nov</c:v>
                </c:pt>
                <c:pt idx="2">
                  <c:v>Dec</c:v>
                </c:pt>
                <c:pt idx="3">
                  <c:v>Jan</c:v>
                </c:pt>
                <c:pt idx="4">
                  <c:v>Feb</c:v>
                </c:pt>
                <c:pt idx="5">
                  <c:v>Mar</c:v>
                </c:pt>
                <c:pt idx="6">
                  <c:v>Apr</c:v>
                </c:pt>
                <c:pt idx="7">
                  <c:v>May</c:v>
                </c:pt>
                <c:pt idx="8">
                  <c:v>Jun</c:v>
                </c:pt>
                <c:pt idx="9">
                  <c:v>Jul</c:v>
                </c:pt>
                <c:pt idx="10">
                  <c:v>Aug</c:v>
                </c:pt>
                <c:pt idx="11">
                  <c:v>Sep</c:v>
                </c:pt>
              </c:strCache>
            </c:strRef>
          </c:cat>
          <c:val>
            <c:numRef>
              <c:f>'SR TOCA Add'!$C$23:$N$23</c:f>
              <c:numCache>
                <c:formatCode>_("$"* #,##0_);_("$"* \(#,##0\);_("$"* "-"??_);_(@_)</c:formatCode>
                <c:ptCount val="12"/>
                <c:pt idx="0">
                  <c:v>46019.215373975479</c:v>
                </c:pt>
                <c:pt idx="1">
                  <c:v>87702.181441242967</c:v>
                </c:pt>
                <c:pt idx="2">
                  <c:v>183135.23515262341</c:v>
                </c:pt>
                <c:pt idx="3">
                  <c:v>251229.9358558339</c:v>
                </c:pt>
                <c:pt idx="4">
                  <c:v>308830.20010901417</c:v>
                </c:pt>
                <c:pt idx="5">
                  <c:v>352363.89781875274</c:v>
                </c:pt>
                <c:pt idx="6">
                  <c:v>374498.26051864802</c:v>
                </c:pt>
                <c:pt idx="7">
                  <c:v>394150.302665619</c:v>
                </c:pt>
                <c:pt idx="8">
                  <c:v>409318.78133279819</c:v>
                </c:pt>
                <c:pt idx="9">
                  <c:v>492526.74778551178</c:v>
                </c:pt>
                <c:pt idx="10">
                  <c:v>600828.89065635845</c:v>
                </c:pt>
                <c:pt idx="11">
                  <c:v>668860.64136933873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D9-4792-B3E2-B946E3FDA7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9375336"/>
        <c:axId val="729374256"/>
      </c:lineChart>
      <c:catAx>
        <c:axId val="729375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374256"/>
        <c:crosses val="autoZero"/>
        <c:auto val="1"/>
        <c:lblAlgn val="ctr"/>
        <c:lblOffset val="100"/>
        <c:noMultiLvlLbl val="0"/>
      </c:catAx>
      <c:valAx>
        <c:axId val="729374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Revenues</a:t>
                </a:r>
                <a:r>
                  <a:rPr lang="en-US" baseline="0"/>
                  <a:t> from Customer ($1000s)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375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4B052AD-765D-4B15-B661-3A7BEE084B0A}">
  <sheetPr/>
  <sheetViews>
    <sheetView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94420" cy="630936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35AB501-8B08-1C4B-43AA-B98A96F98CF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AC61A-9D14-4E1D-AF15-F4CAB3572046}">
  <dimension ref="B2:AL101"/>
  <sheetViews>
    <sheetView tabSelected="1" zoomScale="70" zoomScaleNormal="70" workbookViewId="0">
      <selection activeCell="AI31" sqref="AI31"/>
    </sheetView>
  </sheetViews>
  <sheetFormatPr defaultRowHeight="15" x14ac:dyDescent="0.25"/>
  <cols>
    <col min="1" max="1" width="16.42578125" customWidth="1"/>
    <col min="4" max="4" width="22" customWidth="1"/>
    <col min="5" max="5" width="27.140625" customWidth="1"/>
    <col min="6" max="16" width="14.140625" customWidth="1"/>
    <col min="17" max="17" width="18.28515625" customWidth="1"/>
    <col min="20" max="20" width="17.42578125" bestFit="1" customWidth="1"/>
    <col min="21" max="24" width="16.85546875" bestFit="1" customWidth="1"/>
    <col min="25" max="26" width="16.42578125" bestFit="1" customWidth="1"/>
    <col min="27" max="27" width="15.42578125" bestFit="1" customWidth="1"/>
    <col min="28" max="28" width="15.85546875" bestFit="1" customWidth="1"/>
    <col min="29" max="31" width="16.85546875" bestFit="1" customWidth="1"/>
    <col min="32" max="32" width="18.140625" bestFit="1" customWidth="1"/>
    <col min="33" max="33" width="15.85546875" bestFit="1" customWidth="1"/>
    <col min="34" max="34" width="14" bestFit="1" customWidth="1"/>
    <col min="35" max="35" width="28.42578125" customWidth="1"/>
    <col min="36" max="36" width="19" bestFit="1" customWidth="1"/>
    <col min="37" max="37" width="26.140625" bestFit="1" customWidth="1"/>
    <col min="38" max="38" width="17.28515625" bestFit="1" customWidth="1"/>
  </cols>
  <sheetData>
    <row r="2" spans="3:38" ht="12" customHeight="1" x14ac:dyDescent="0.25">
      <c r="AH2" s="37"/>
      <c r="AI2" s="37"/>
      <c r="AJ2" s="37"/>
      <c r="AK2" s="37"/>
      <c r="AL2" s="37"/>
    </row>
    <row r="3" spans="3:38" ht="12" customHeight="1" x14ac:dyDescent="0.25">
      <c r="G3" s="37" t="s">
        <v>48</v>
      </c>
      <c r="H3" s="37"/>
      <c r="I3" s="37"/>
      <c r="J3" s="37"/>
      <c r="K3" s="37"/>
    </row>
    <row r="4" spans="3:38" ht="17.25" customHeight="1" x14ac:dyDescent="0.25">
      <c r="D4" s="4" t="s">
        <v>47</v>
      </c>
      <c r="E4" s="7">
        <v>2171560925.6459999</v>
      </c>
      <c r="G4" s="37" t="s">
        <v>46</v>
      </c>
      <c r="H4" s="37"/>
      <c r="I4" s="37"/>
      <c r="J4" s="37"/>
      <c r="K4" s="37"/>
      <c r="AH4" s="17" t="s">
        <v>45</v>
      </c>
      <c r="AI4" s="17"/>
      <c r="AJ4" s="17"/>
      <c r="AK4" s="17"/>
      <c r="AL4" s="17"/>
    </row>
    <row r="5" spans="3:38" x14ac:dyDescent="0.25">
      <c r="D5" s="4" t="s">
        <v>48</v>
      </c>
      <c r="E5" s="14">
        <f>+SUM(Q72,Q79,Q86,Q93,Q100)</f>
        <v>54238533.338154294</v>
      </c>
      <c r="AI5" t="s">
        <v>33</v>
      </c>
      <c r="AJ5" t="s">
        <v>44</v>
      </c>
      <c r="AK5" t="s">
        <v>15</v>
      </c>
      <c r="AL5" t="s">
        <v>30</v>
      </c>
    </row>
    <row r="6" spans="3:38" x14ac:dyDescent="0.25">
      <c r="D6" s="4" t="s">
        <v>52</v>
      </c>
      <c r="E6" s="14">
        <f>+E4-E5</f>
        <v>2117322392.3078456</v>
      </c>
      <c r="AH6" t="s">
        <v>28</v>
      </c>
      <c r="AI6" s="18">
        <f>+VLOOKUP(VALUE(RIGHT(AH6,1)),$C$24:$Q$57,4,FALSE)</f>
        <v>19266911.455948543</v>
      </c>
      <c r="AJ6" s="19">
        <f t="shared" ref="AJ6:AJ10" si="0">+VLOOKUP(VALUE(RIGHT(AH6,1)),$C$13:$D$17,2,FALSE)*$E$6</f>
        <v>657499032.19753778</v>
      </c>
      <c r="AK6" s="19">
        <f>+VLOOKUP(VALUE(RIGHT(AH6,1)),$C$72:$Q$101,15,FALSE)</f>
        <v>11361609.171800986</v>
      </c>
      <c r="AL6" s="2">
        <f>+SUM(AJ6:AK6)/AI6</f>
        <v>34.715509172220337</v>
      </c>
    </row>
    <row r="7" spans="3:38" x14ac:dyDescent="0.25">
      <c r="D7" s="4" t="s">
        <v>43</v>
      </c>
      <c r="E7" s="14">
        <f>+Q22</f>
        <v>62044597.875599995</v>
      </c>
      <c r="AH7" t="s">
        <v>27</v>
      </c>
      <c r="AI7" s="18">
        <f t="shared" ref="AI7:AI10" si="1">+VLOOKUP(VALUE(RIGHT(AH7,1)),$C$24:$Q$57,4,FALSE)</f>
        <v>17016799.830388755</v>
      </c>
      <c r="AJ7" s="19">
        <f t="shared" si="0"/>
        <v>580712141.91029251</v>
      </c>
      <c r="AK7" s="19">
        <f t="shared" ref="AK7:AK10" si="2">+VLOOKUP(VALUE(RIGHT(AH7,1)),$C$72:$Q$101,15,FALSE)</f>
        <v>17073936.234327599</v>
      </c>
      <c r="AL7" s="2">
        <f t="shared" ref="AL7:AL10" si="3">+SUM(AJ7:AK7)/AI7</f>
        <v>35.129171413128354</v>
      </c>
    </row>
    <row r="8" spans="3:38" ht="15.75" thickBot="1" x14ac:dyDescent="0.3">
      <c r="D8" s="4" t="s">
        <v>42</v>
      </c>
      <c r="E8">
        <f>E4/SUM(E21:P22)</f>
        <v>35</v>
      </c>
      <c r="F8" t="s">
        <v>41</v>
      </c>
      <c r="AH8" t="s">
        <v>25</v>
      </c>
      <c r="AI8" s="18">
        <f t="shared" si="1"/>
        <v>14476742.356293334</v>
      </c>
      <c r="AJ8" s="19">
        <f t="shared" si="0"/>
        <v>494030613.59360778</v>
      </c>
      <c r="AK8" s="19">
        <f t="shared" si="2"/>
        <v>19162288.328340895</v>
      </c>
      <c r="AL8" s="2">
        <f t="shared" si="3"/>
        <v>35.449474010902271</v>
      </c>
    </row>
    <row r="9" spans="3:38" ht="15.75" thickBot="1" x14ac:dyDescent="0.3">
      <c r="C9" s="38" t="s">
        <v>40</v>
      </c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40"/>
      <c r="S9" s="38" t="s">
        <v>39</v>
      </c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40"/>
      <c r="AH9" t="s">
        <v>24</v>
      </c>
      <c r="AI9" s="18">
        <f t="shared" si="1"/>
        <v>7897873.4241209086</v>
      </c>
      <c r="AJ9" s="19">
        <f t="shared" si="0"/>
        <v>269521357.62137902</v>
      </c>
      <c r="AK9" s="19">
        <f t="shared" si="2"/>
        <v>6709156.3615827709</v>
      </c>
      <c r="AL9" s="2">
        <f t="shared" si="3"/>
        <v>34.975302736471527</v>
      </c>
    </row>
    <row r="10" spans="3:38" x14ac:dyDescent="0.25">
      <c r="C10" t="s">
        <v>38</v>
      </c>
      <c r="AH10" t="s">
        <v>23</v>
      </c>
      <c r="AI10" s="18">
        <f t="shared" si="1"/>
        <v>3386270.8088484542</v>
      </c>
      <c r="AJ10" s="19">
        <f t="shared" si="0"/>
        <v>115559246.98502846</v>
      </c>
      <c r="AK10" s="19">
        <f t="shared" si="2"/>
        <v>-68456.757897956995</v>
      </c>
      <c r="AL10" s="2">
        <f t="shared" si="3"/>
        <v>34.105597793699395</v>
      </c>
    </row>
    <row r="11" spans="3:38" x14ac:dyDescent="0.25">
      <c r="C11" s="37" t="s">
        <v>37</v>
      </c>
      <c r="D11" s="37"/>
      <c r="S11" t="s">
        <v>16</v>
      </c>
    </row>
    <row r="12" spans="3:38" x14ac:dyDescent="0.25">
      <c r="D12" t="s">
        <v>14</v>
      </c>
      <c r="F12" t="s">
        <v>36</v>
      </c>
      <c r="T12" t="s">
        <v>2</v>
      </c>
      <c r="U12" t="s">
        <v>3</v>
      </c>
      <c r="V12" t="s">
        <v>4</v>
      </c>
      <c r="W12" t="s">
        <v>5</v>
      </c>
      <c r="X12" t="s">
        <v>6</v>
      </c>
      <c r="Y12" t="s">
        <v>7</v>
      </c>
      <c r="Z12" t="s">
        <v>8</v>
      </c>
      <c r="AA12" t="s">
        <v>9</v>
      </c>
      <c r="AB12" t="s">
        <v>10</v>
      </c>
      <c r="AC12" t="s">
        <v>11</v>
      </c>
      <c r="AD12" t="s">
        <v>12</v>
      </c>
      <c r="AE12" t="s">
        <v>13</v>
      </c>
      <c r="AH12" s="17" t="s">
        <v>35</v>
      </c>
      <c r="AI12" s="17"/>
      <c r="AJ12" s="17"/>
      <c r="AK12" s="17"/>
      <c r="AL12" s="17"/>
    </row>
    <row r="13" spans="3:38" x14ac:dyDescent="0.25">
      <c r="C13">
        <v>1</v>
      </c>
      <c r="D13" s="3">
        <f>+VLOOKUP(C13,$C$24:$E$55,3,FALSE)</f>
        <v>0.31053326342091669</v>
      </c>
      <c r="E13" s="3"/>
      <c r="F13" t="s">
        <v>34</v>
      </c>
      <c r="S13" t="s">
        <v>0</v>
      </c>
      <c r="T13" s="5">
        <f>+E64</f>
        <v>47.71</v>
      </c>
      <c r="U13" s="5">
        <f t="shared" ref="U13:AE13" si="4">+F64</f>
        <v>40.299999999999997</v>
      </c>
      <c r="V13" s="5">
        <f t="shared" si="4"/>
        <v>61.63</v>
      </c>
      <c r="W13" s="5">
        <f t="shared" si="4"/>
        <v>49.88</v>
      </c>
      <c r="X13" s="5">
        <f t="shared" si="4"/>
        <v>50.32</v>
      </c>
      <c r="Y13" s="5">
        <f t="shared" si="4"/>
        <v>35.07</v>
      </c>
      <c r="Z13" s="5">
        <f t="shared" si="4"/>
        <v>20.420000000000002</v>
      </c>
      <c r="AA13" s="5">
        <f t="shared" si="4"/>
        <v>18.21</v>
      </c>
      <c r="AB13" s="5">
        <f t="shared" si="4"/>
        <v>17.87</v>
      </c>
      <c r="AC13" s="5">
        <f t="shared" si="4"/>
        <v>55.6</v>
      </c>
      <c r="AD13" s="5">
        <f t="shared" si="4"/>
        <v>71.52</v>
      </c>
      <c r="AE13" s="5">
        <f t="shared" si="4"/>
        <v>58.7</v>
      </c>
      <c r="AI13" t="s">
        <v>33</v>
      </c>
      <c r="AJ13" t="s">
        <v>32</v>
      </c>
      <c r="AK13" t="s">
        <v>31</v>
      </c>
      <c r="AL13" t="s">
        <v>30</v>
      </c>
    </row>
    <row r="14" spans="3:38" x14ac:dyDescent="0.25">
      <c r="C14">
        <v>2</v>
      </c>
      <c r="D14" s="3">
        <f>+VLOOKUP(C14,$C$24:$E$55,3,FALSE)</f>
        <v>0.27426722733391873</v>
      </c>
      <c r="E14" s="3"/>
      <c r="F14" t="s">
        <v>29</v>
      </c>
      <c r="S14" t="s">
        <v>1</v>
      </c>
      <c r="T14" s="5">
        <f>+E65</f>
        <v>32.909999999999997</v>
      </c>
      <c r="U14" s="5">
        <f t="shared" ref="U14" si="5">+F65</f>
        <v>31.39</v>
      </c>
      <c r="V14" s="5">
        <f t="shared" ref="V14" si="6">+G65</f>
        <v>52.69</v>
      </c>
      <c r="W14" s="5">
        <f t="shared" ref="W14" si="7">+H65</f>
        <v>36.729999999999997</v>
      </c>
      <c r="X14" s="5">
        <f t="shared" ref="X14" si="8">+I65</f>
        <v>42.01</v>
      </c>
      <c r="Y14" s="5">
        <f t="shared" ref="Y14" si="9">+J65</f>
        <v>35.840000000000003</v>
      </c>
      <c r="Z14" s="5">
        <f t="shared" ref="Z14" si="10">+K65</f>
        <v>21.67</v>
      </c>
      <c r="AA14" s="5">
        <f t="shared" ref="AA14" si="11">+L65</f>
        <v>16.34</v>
      </c>
      <c r="AB14" s="5">
        <f t="shared" ref="AB14" si="12">+M65</f>
        <v>10.33</v>
      </c>
      <c r="AC14" s="5">
        <f t="shared" ref="AC14" si="13">+N65</f>
        <v>36.92</v>
      </c>
      <c r="AD14" s="5">
        <f t="shared" ref="AD14" si="14">+O65</f>
        <v>48.93</v>
      </c>
      <c r="AE14" s="5">
        <f t="shared" ref="AE14" si="15">+P65</f>
        <v>44.18</v>
      </c>
      <c r="AH14" t="s">
        <v>28</v>
      </c>
      <c r="AI14" s="18">
        <f>+AI6</f>
        <v>19266911.455948543</v>
      </c>
      <c r="AJ14" s="19">
        <f>+VLOOKUP(RIGHT($AH14,1)&amp;LEFT(AJ$13,3),$R$35:$AF$49,15,FALSE)</f>
        <v>440320925.25095451</v>
      </c>
      <c r="AK14" s="19">
        <f t="shared" ref="AK14:AK18" si="16">+VLOOKUP(RIGHT($AH14,1)&amp;LEFT(AK$13,3),$R$35:$AF$49,15,FALSE)</f>
        <v>228539716.1183843</v>
      </c>
      <c r="AL14" s="20">
        <f>+SUM(AJ14:AK14)/AI14</f>
        <v>34.715509172220337</v>
      </c>
    </row>
    <row r="15" spans="3:38" x14ac:dyDescent="0.25">
      <c r="C15">
        <v>3</v>
      </c>
      <c r="D15" s="3">
        <f>+VLOOKUP(C15,$C$24:$E$55,3,FALSE)</f>
        <v>0.23332800682050256</v>
      </c>
      <c r="E15" s="3"/>
      <c r="AH15" t="s">
        <v>27</v>
      </c>
      <c r="AI15" s="18">
        <f t="shared" ref="AI15:AI18" si="17">+AI7</f>
        <v>17016799.830388755</v>
      </c>
      <c r="AJ15" s="19">
        <f t="shared" ref="AJ15:AJ18" si="18">+VLOOKUP(RIGHT($AH15,1)&amp;LEFT(AJ$13,3),$R$35:$AF$49,15,FALSE)</f>
        <v>405305725.69428372</v>
      </c>
      <c r="AK15" s="19">
        <f t="shared" si="16"/>
        <v>192480352.4503364</v>
      </c>
      <c r="AL15" s="20">
        <f t="shared" ref="AL15:AL18" si="19">+SUM(AJ15:AK15)/AI15</f>
        <v>35.129171413128361</v>
      </c>
    </row>
    <row r="16" spans="3:38" x14ac:dyDescent="0.25">
      <c r="C16">
        <v>4</v>
      </c>
      <c r="D16" s="3">
        <f>+VLOOKUP(C16,$C$24:$E$55,3,FALSE)</f>
        <v>0.12729349040115015</v>
      </c>
      <c r="E16" s="3"/>
      <c r="S16" t="s">
        <v>26</v>
      </c>
      <c r="AH16" t="s">
        <v>25</v>
      </c>
      <c r="AI16" s="18">
        <f t="shared" si="17"/>
        <v>14476742.356293334</v>
      </c>
      <c r="AJ16" s="19">
        <f t="shared" si="18"/>
        <v>348184979.64331508</v>
      </c>
      <c r="AK16" s="19">
        <f t="shared" si="16"/>
        <v>165007922.27863371</v>
      </c>
      <c r="AL16" s="20">
        <f t="shared" si="19"/>
        <v>35.449474010902279</v>
      </c>
    </row>
    <row r="17" spans="3:38" x14ac:dyDescent="0.25">
      <c r="C17">
        <v>5</v>
      </c>
      <c r="D17" s="3">
        <f>+VLOOKUP(C17,$C$24:$E$55,3,FALSE)</f>
        <v>5.4578012023511847E-2</v>
      </c>
      <c r="E17" s="3"/>
      <c r="T17" t="s">
        <v>2</v>
      </c>
      <c r="U17" t="s">
        <v>3</v>
      </c>
      <c r="V17" t="s">
        <v>4</v>
      </c>
      <c r="W17" t="s">
        <v>5</v>
      </c>
      <c r="X17" t="s">
        <v>6</v>
      </c>
      <c r="Y17" t="s">
        <v>7</v>
      </c>
      <c r="Z17" t="s">
        <v>8</v>
      </c>
      <c r="AA17" t="s">
        <v>9</v>
      </c>
      <c r="AB17" t="s">
        <v>10</v>
      </c>
      <c r="AC17" t="s">
        <v>11</v>
      </c>
      <c r="AD17" t="s">
        <v>12</v>
      </c>
      <c r="AE17" t="s">
        <v>13</v>
      </c>
      <c r="AH17" t="s">
        <v>24</v>
      </c>
      <c r="AI17" s="18">
        <f t="shared" si="17"/>
        <v>7897873.4241209086</v>
      </c>
      <c r="AJ17" s="19">
        <f t="shared" si="18"/>
        <v>186718925.4418067</v>
      </c>
      <c r="AK17" s="19">
        <f t="shared" si="16"/>
        <v>89511588.5411551</v>
      </c>
      <c r="AL17" s="20">
        <f t="shared" si="19"/>
        <v>34.975302736471527</v>
      </c>
    </row>
    <row r="18" spans="3:38" x14ac:dyDescent="0.25">
      <c r="D18" s="3"/>
      <c r="S18" t="s">
        <v>0</v>
      </c>
      <c r="T18" s="14">
        <f>+E28+E35+E42+E49+E56</f>
        <v>2850928.6927434374</v>
      </c>
      <c r="U18" s="14">
        <f t="shared" ref="U18:AE18" si="20">+F28+F35+F42+F49+F56</f>
        <v>2908991.5227637663</v>
      </c>
      <c r="V18" s="14">
        <f t="shared" si="20"/>
        <v>3596803.1348041333</v>
      </c>
      <c r="W18" s="14">
        <f t="shared" si="20"/>
        <v>3611683.6625630637</v>
      </c>
      <c r="X18" s="14">
        <f t="shared" si="20"/>
        <v>3084947.2792370422</v>
      </c>
      <c r="Y18" s="14">
        <f t="shared" si="20"/>
        <v>3118782.0191900595</v>
      </c>
      <c r="Z18" s="14">
        <f t="shared" si="20"/>
        <v>2934993.6824182631</v>
      </c>
      <c r="AA18" s="14">
        <f t="shared" si="20"/>
        <v>2895283.5505448845</v>
      </c>
      <c r="AB18" s="14">
        <f t="shared" si="20"/>
        <v>2980343.3628155757</v>
      </c>
      <c r="AC18" s="14">
        <f t="shared" si="20"/>
        <v>3327101.7542433226</v>
      </c>
      <c r="AD18" s="14">
        <f t="shared" si="20"/>
        <v>3356213.6734897676</v>
      </c>
      <c r="AE18" s="14">
        <f t="shared" si="20"/>
        <v>2715391.5904624937</v>
      </c>
      <c r="AH18" t="s">
        <v>23</v>
      </c>
      <c r="AI18" s="18">
        <f t="shared" si="17"/>
        <v>3386270.8088484542</v>
      </c>
      <c r="AJ18" s="19">
        <f t="shared" si="18"/>
        <v>73423543.80950816</v>
      </c>
      <c r="AK18" s="19">
        <f t="shared" si="16"/>
        <v>42067246.417622358</v>
      </c>
      <c r="AL18" s="20">
        <f t="shared" si="19"/>
        <v>34.105597793699403</v>
      </c>
    </row>
    <row r="19" spans="3:38" x14ac:dyDescent="0.25">
      <c r="D19" t="s">
        <v>22</v>
      </c>
      <c r="S19" t="s">
        <v>1</v>
      </c>
      <c r="T19" s="14">
        <f>+E29+E36+E43+E50+E57</f>
        <v>1725105.0823258138</v>
      </c>
      <c r="U19" s="14">
        <f t="shared" ref="U19:AE19" si="21">+F29+F36+F43+F50+F57</f>
        <v>2010711.6657146013</v>
      </c>
      <c r="V19" s="14">
        <f t="shared" si="21"/>
        <v>2567821.5851818211</v>
      </c>
      <c r="W19" s="14">
        <f t="shared" si="21"/>
        <v>2532372.1541868607</v>
      </c>
      <c r="X19" s="14">
        <f t="shared" si="21"/>
        <v>2009524.3522456752</v>
      </c>
      <c r="Y19" s="14">
        <f t="shared" si="21"/>
        <v>2059655.7787654649</v>
      </c>
      <c r="Z19" s="14">
        <f t="shared" si="21"/>
        <v>1837505.508045567</v>
      </c>
      <c r="AA19" s="14">
        <f t="shared" si="21"/>
        <v>1955919.3734429644</v>
      </c>
      <c r="AB19" s="14">
        <f t="shared" si="21"/>
        <v>1892637.5870134227</v>
      </c>
      <c r="AC19" s="14">
        <f t="shared" si="21"/>
        <v>2178110.4986454467</v>
      </c>
      <c r="AD19" s="14">
        <f t="shared" si="21"/>
        <v>2093434.8531572165</v>
      </c>
      <c r="AE19" s="14">
        <f t="shared" si="21"/>
        <v>1800335.5115993298</v>
      </c>
    </row>
    <row r="20" spans="3:38" x14ac:dyDescent="0.25">
      <c r="E20" t="s">
        <v>2</v>
      </c>
      <c r="F20" t="s">
        <v>3</v>
      </c>
      <c r="G20" t="s">
        <v>4</v>
      </c>
      <c r="H20" t="s">
        <v>5</v>
      </c>
      <c r="I20" t="s">
        <v>6</v>
      </c>
      <c r="J20" t="s">
        <v>7</v>
      </c>
      <c r="K20" t="s">
        <v>8</v>
      </c>
      <c r="L20" t="s">
        <v>9</v>
      </c>
      <c r="M20" t="s">
        <v>10</v>
      </c>
      <c r="N20" t="s">
        <v>11</v>
      </c>
      <c r="O20" t="s">
        <v>12</v>
      </c>
      <c r="P20" t="s">
        <v>13</v>
      </c>
      <c r="Q20" t="s">
        <v>50</v>
      </c>
    </row>
    <row r="21" spans="3:38" x14ac:dyDescent="0.25">
      <c r="D21" t="s">
        <v>0</v>
      </c>
      <c r="E21" s="8">
        <v>2552444.0360000003</v>
      </c>
      <c r="F21" s="8">
        <v>3264487.3280000002</v>
      </c>
      <c r="G21" s="8">
        <v>3520485.7390000001</v>
      </c>
      <c r="H21" s="8">
        <v>3735691.7149999999</v>
      </c>
      <c r="I21" s="8">
        <v>3299995.8789999997</v>
      </c>
      <c r="J21" s="8">
        <v>3449919.1129999999</v>
      </c>
      <c r="K21" s="8">
        <v>2722407.7774999999</v>
      </c>
      <c r="L21" s="8">
        <v>3371816.8480000002</v>
      </c>
      <c r="M21" s="8">
        <v>3560007.926</v>
      </c>
      <c r="N21" s="8">
        <v>3067031.764</v>
      </c>
      <c r="O21" s="8">
        <v>3018290.1715000002</v>
      </c>
      <c r="P21" s="8">
        <v>2614938.2740000002</v>
      </c>
      <c r="S21" t="s">
        <v>21</v>
      </c>
    </row>
    <row r="22" spans="3:38" x14ac:dyDescent="0.25">
      <c r="D22" t="s">
        <v>1</v>
      </c>
      <c r="E22" s="8">
        <v>1666359.7254999999</v>
      </c>
      <c r="F22" s="8">
        <v>2115878.6310000001</v>
      </c>
      <c r="G22" s="8">
        <v>2285993.696</v>
      </c>
      <c r="H22" s="8">
        <v>2298138.0290000001</v>
      </c>
      <c r="I22" s="8">
        <v>1889901.959</v>
      </c>
      <c r="J22" s="8">
        <v>2216421.7779999999</v>
      </c>
      <c r="K22" s="8">
        <v>1750213.4617499998</v>
      </c>
      <c r="L22" s="8">
        <v>2177069.1584999999</v>
      </c>
      <c r="M22" s="8">
        <v>2109275.0545000001</v>
      </c>
      <c r="N22" s="8">
        <v>1854722.6274999999</v>
      </c>
      <c r="O22" s="8">
        <v>1739738.0798499999</v>
      </c>
      <c r="P22" s="8">
        <v>1763369.1040000001</v>
      </c>
      <c r="Q22" s="1">
        <f>+SUM(E21:P22)</f>
        <v>62044597.875599995</v>
      </c>
      <c r="T22" t="s">
        <v>2</v>
      </c>
      <c r="U22" t="s">
        <v>3</v>
      </c>
      <c r="V22" t="s">
        <v>4</v>
      </c>
      <c r="W22" t="s">
        <v>5</v>
      </c>
      <c r="X22" t="s">
        <v>6</v>
      </c>
      <c r="Y22" t="s">
        <v>7</v>
      </c>
      <c r="Z22" t="s">
        <v>8</v>
      </c>
      <c r="AA22" t="s">
        <v>9</v>
      </c>
      <c r="AB22" t="s">
        <v>10</v>
      </c>
      <c r="AC22" t="s">
        <v>11</v>
      </c>
      <c r="AD22" t="s">
        <v>12</v>
      </c>
      <c r="AE22" t="s">
        <v>13</v>
      </c>
    </row>
    <row r="23" spans="3:38" x14ac:dyDescent="0.25">
      <c r="Q23" s="1"/>
      <c r="S23" t="s">
        <v>0</v>
      </c>
      <c r="T23" s="15">
        <f>T13*T18</f>
        <v>136017807.93078941</v>
      </c>
      <c r="U23" s="15">
        <f t="shared" ref="U23:AE24" si="22">U13*U18</f>
        <v>117232358.36737977</v>
      </c>
      <c r="V23" s="15">
        <f t="shared" si="22"/>
        <v>221670977.19797873</v>
      </c>
      <c r="W23" s="15">
        <f t="shared" si="22"/>
        <v>180150781.08864564</v>
      </c>
      <c r="X23" s="15">
        <f t="shared" si="22"/>
        <v>155234547.09120795</v>
      </c>
      <c r="Y23" s="15">
        <f t="shared" si="22"/>
        <v>109375685.41299538</v>
      </c>
      <c r="Z23" s="15">
        <f t="shared" si="22"/>
        <v>59932570.994980939</v>
      </c>
      <c r="AA23" s="15">
        <f t="shared" si="22"/>
        <v>52723113.455422349</v>
      </c>
      <c r="AB23" s="15">
        <f t="shared" si="22"/>
        <v>53258735.893514343</v>
      </c>
      <c r="AC23" s="15">
        <f t="shared" si="22"/>
        <v>184986857.53592876</v>
      </c>
      <c r="AD23" s="15">
        <f t="shared" si="22"/>
        <v>240036401.92798817</v>
      </c>
      <c r="AE23" s="15">
        <f t="shared" si="22"/>
        <v>159393486.3601484</v>
      </c>
      <c r="AF23" t="s">
        <v>20</v>
      </c>
    </row>
    <row r="24" spans="3:38" x14ac:dyDescent="0.25">
      <c r="C24">
        <f>+RANK(Q27,$Q$26:$Q$55)</f>
        <v>3</v>
      </c>
      <c r="D24" t="str">
        <f>"Customer "&amp;C24</f>
        <v>Customer 3</v>
      </c>
      <c r="E24" s="10">
        <f>+Q27/SUM($Q$26:$Q$55)</f>
        <v>0.23332800682050256</v>
      </c>
      <c r="F24" s="11">
        <f>+E24*SUM($E$21:$P$22)</f>
        <v>14476742.356293334</v>
      </c>
      <c r="G24" t="s">
        <v>49</v>
      </c>
      <c r="Q24" s="1"/>
      <c r="S24" t="s">
        <v>1</v>
      </c>
      <c r="T24" s="15">
        <f>T14*T19</f>
        <v>56773208.259342529</v>
      </c>
      <c r="U24" s="15">
        <f t="shared" si="22"/>
        <v>63116239.186781332</v>
      </c>
      <c r="V24" s="15">
        <f t="shared" si="22"/>
        <v>135298519.32323015</v>
      </c>
      <c r="W24" s="15">
        <f t="shared" si="22"/>
        <v>93014029.22328338</v>
      </c>
      <c r="X24" s="15">
        <f t="shared" si="22"/>
        <v>84420118.037840813</v>
      </c>
      <c r="Y24" s="15">
        <f t="shared" si="22"/>
        <v>73818063.11095427</v>
      </c>
      <c r="Z24" s="15">
        <f t="shared" si="22"/>
        <v>39818744.35934744</v>
      </c>
      <c r="AA24" s="15">
        <f t="shared" si="22"/>
        <v>31959722.562058039</v>
      </c>
      <c r="AB24" s="15">
        <f t="shared" si="22"/>
        <v>19550946.273848657</v>
      </c>
      <c r="AC24" s="15">
        <f t="shared" si="22"/>
        <v>80415839.609989896</v>
      </c>
      <c r="AD24" s="15">
        <f t="shared" si="22"/>
        <v>102431767.3649826</v>
      </c>
      <c r="AE24" s="15">
        <f t="shared" si="22"/>
        <v>79538822.902458385</v>
      </c>
      <c r="AF24">
        <f>SUM(T23:AE24)</f>
        <v>2530169343.471097</v>
      </c>
    </row>
    <row r="25" spans="3:38" x14ac:dyDescent="0.25">
      <c r="E25" t="s">
        <v>2</v>
      </c>
      <c r="F25" t="s">
        <v>3</v>
      </c>
      <c r="G25" t="s">
        <v>4</v>
      </c>
      <c r="H25" t="s">
        <v>5</v>
      </c>
      <c r="I25" t="s">
        <v>6</v>
      </c>
      <c r="J25" t="s">
        <v>7</v>
      </c>
      <c r="K25" t="s">
        <v>8</v>
      </c>
      <c r="L25" t="s">
        <v>9</v>
      </c>
      <c r="M25" t="s">
        <v>10</v>
      </c>
      <c r="N25" t="s">
        <v>11</v>
      </c>
      <c r="O25" t="s">
        <v>12</v>
      </c>
      <c r="P25" t="s">
        <v>13</v>
      </c>
      <c r="Q25" s="1"/>
    </row>
    <row r="26" spans="3:38" x14ac:dyDescent="0.25">
      <c r="D26" t="s">
        <v>0</v>
      </c>
      <c r="E26" s="8">
        <v>79419.743999999992</v>
      </c>
      <c r="F26" s="8">
        <v>82881.600000000006</v>
      </c>
      <c r="G26" s="8">
        <v>102371.2</v>
      </c>
      <c r="H26" s="8">
        <v>103222.912</v>
      </c>
      <c r="I26" s="8">
        <v>88377.600000000006</v>
      </c>
      <c r="J26" s="8">
        <v>87882.079999999987</v>
      </c>
      <c r="K26" s="8">
        <v>77744.160000000003</v>
      </c>
      <c r="L26" s="8">
        <v>69876.352000000014</v>
      </c>
      <c r="M26" s="8">
        <v>73308.400000000009</v>
      </c>
      <c r="N26" s="8">
        <v>81432.415999999983</v>
      </c>
      <c r="O26" s="8">
        <v>84944.703999999998</v>
      </c>
      <c r="P26" s="8">
        <v>71816.799999999988</v>
      </c>
      <c r="Q26" s="1"/>
      <c r="AF26" t="s">
        <v>47</v>
      </c>
      <c r="AG26" s="11">
        <f>+E4</f>
        <v>2171560925.6459999</v>
      </c>
    </row>
    <row r="27" spans="3:38" x14ac:dyDescent="0.25">
      <c r="D27" t="s">
        <v>1</v>
      </c>
      <c r="E27" s="8">
        <v>46273.343999999997</v>
      </c>
      <c r="F27" s="8">
        <v>54771.588000000003</v>
      </c>
      <c r="G27" s="8">
        <v>71150.207999999999</v>
      </c>
      <c r="H27" s="8">
        <v>70846.688000000009</v>
      </c>
      <c r="I27" s="8">
        <v>55788.479999999996</v>
      </c>
      <c r="J27" s="8">
        <v>55108.655999999995</v>
      </c>
      <c r="K27" s="8">
        <v>46798.671999999999</v>
      </c>
      <c r="L27" s="8">
        <v>44601.768000000004</v>
      </c>
      <c r="M27" s="8">
        <v>42909.759999999995</v>
      </c>
      <c r="N27" s="8">
        <v>49547.023999999998</v>
      </c>
      <c r="O27" s="8">
        <v>48455.767999999996</v>
      </c>
      <c r="P27" s="8">
        <v>44727.360000000008</v>
      </c>
      <c r="Q27" s="1">
        <f>+SUM(E26:P27)</f>
        <v>1634257.2840000002</v>
      </c>
      <c r="AF27" t="s">
        <v>19</v>
      </c>
      <c r="AG27">
        <f>(AG26-AF24)/SUM(T18:AE19)</f>
        <v>-5.7798491746873824</v>
      </c>
    </row>
    <row r="28" spans="3:38" x14ac:dyDescent="0.25">
      <c r="C28" t="str">
        <f>+C24&amp;D28</f>
        <v>3HLH</v>
      </c>
      <c r="D28" s="4" t="s">
        <v>0</v>
      </c>
      <c r="E28" s="12">
        <f>+E26/$Q$27*$F$24</f>
        <v>703523.96966325724</v>
      </c>
      <c r="F28" s="12">
        <f t="shared" ref="F28:P29" si="23">+F26/$Q$27*$F$24</f>
        <v>734190.13090802997</v>
      </c>
      <c r="G28" s="12">
        <f t="shared" si="23"/>
        <v>906834.86719865573</v>
      </c>
      <c r="H28" s="12">
        <f t="shared" si="23"/>
        <v>914379.58815935079</v>
      </c>
      <c r="I28" s="12">
        <f t="shared" si="23"/>
        <v>782875.35126418294</v>
      </c>
      <c r="J28" s="12">
        <f t="shared" si="23"/>
        <v>778485.88612755958</v>
      </c>
      <c r="K28" s="12">
        <f t="shared" si="23"/>
        <v>688681.14283188095</v>
      </c>
      <c r="L28" s="12">
        <f t="shared" si="23"/>
        <v>618985.73413466418</v>
      </c>
      <c r="M28" s="12">
        <f t="shared" si="23"/>
        <v>649387.84715374978</v>
      </c>
      <c r="N28" s="12">
        <f t="shared" si="23"/>
        <v>721352.82334314415</v>
      </c>
      <c r="O28" s="12">
        <f t="shared" si="23"/>
        <v>752465.72640614863</v>
      </c>
      <c r="P28" s="12">
        <f t="shared" si="23"/>
        <v>636174.80590861896</v>
      </c>
      <c r="Q28" s="9"/>
      <c r="S28" t="s">
        <v>18</v>
      </c>
    </row>
    <row r="29" spans="3:38" x14ac:dyDescent="0.25">
      <c r="C29" t="str">
        <f>+C24&amp;D29</f>
        <v>3LLH</v>
      </c>
      <c r="D29" s="4" t="s">
        <v>1</v>
      </c>
      <c r="E29" s="12">
        <f>+E27/$Q$27*$F$24</f>
        <v>409903.19309608283</v>
      </c>
      <c r="F29" s="12">
        <f t="shared" si="23"/>
        <v>485183.19342001941</v>
      </c>
      <c r="G29" s="12">
        <f t="shared" si="23"/>
        <v>630269.93356370484</v>
      </c>
      <c r="H29" s="12">
        <f t="shared" si="23"/>
        <v>627581.26215131418</v>
      </c>
      <c r="I29" s="12">
        <f t="shared" si="23"/>
        <v>494191.12848159304</v>
      </c>
      <c r="J29" s="12">
        <f t="shared" si="23"/>
        <v>488169.04310251708</v>
      </c>
      <c r="K29" s="12">
        <f t="shared" si="23"/>
        <v>414556.70645839308</v>
      </c>
      <c r="L29" s="12">
        <f t="shared" si="23"/>
        <v>395095.87033369992</v>
      </c>
      <c r="M29" s="12">
        <f t="shared" si="23"/>
        <v>380107.55477249646</v>
      </c>
      <c r="N29" s="12">
        <f t="shared" si="23"/>
        <v>438902.43475829734</v>
      </c>
      <c r="O29" s="12">
        <f t="shared" si="23"/>
        <v>429235.7610274069</v>
      </c>
      <c r="P29" s="12">
        <f t="shared" si="23"/>
        <v>396208.40202856349</v>
      </c>
      <c r="Q29" s="9"/>
      <c r="T29" t="s">
        <v>2</v>
      </c>
      <c r="U29" t="s">
        <v>3</v>
      </c>
      <c r="V29" t="s">
        <v>4</v>
      </c>
      <c r="W29" t="s">
        <v>5</v>
      </c>
      <c r="X29" t="s">
        <v>6</v>
      </c>
      <c r="Y29" t="s">
        <v>7</v>
      </c>
      <c r="Z29" t="s">
        <v>8</v>
      </c>
      <c r="AA29" t="s">
        <v>9</v>
      </c>
      <c r="AB29" t="s">
        <v>10</v>
      </c>
      <c r="AC29" t="s">
        <v>11</v>
      </c>
      <c r="AD29" t="s">
        <v>12</v>
      </c>
      <c r="AE29" t="s">
        <v>13</v>
      </c>
    </row>
    <row r="30" spans="3:38" x14ac:dyDescent="0.25">
      <c r="P30" s="16"/>
      <c r="Q30" s="1"/>
      <c r="S30" t="s">
        <v>0</v>
      </c>
      <c r="T30" s="6">
        <f t="shared" ref="T30:AE30" si="24">T13+$AG$27</f>
        <v>41.930150825312616</v>
      </c>
      <c r="U30" s="6">
        <f t="shared" si="24"/>
        <v>34.520150825312612</v>
      </c>
      <c r="V30" s="6">
        <f t="shared" si="24"/>
        <v>55.850150825312618</v>
      </c>
      <c r="W30" s="6">
        <f t="shared" si="24"/>
        <v>44.100150825312618</v>
      </c>
      <c r="X30" s="6">
        <f t="shared" si="24"/>
        <v>44.540150825312615</v>
      </c>
      <c r="Y30" s="6">
        <f t="shared" si="24"/>
        <v>29.290150825312619</v>
      </c>
      <c r="Z30" s="6">
        <f t="shared" si="24"/>
        <v>14.64015082531262</v>
      </c>
      <c r="AA30" s="6">
        <f t="shared" si="24"/>
        <v>12.430150825312619</v>
      </c>
      <c r="AB30" s="6">
        <f t="shared" si="24"/>
        <v>12.09015082531262</v>
      </c>
      <c r="AC30" s="6">
        <f t="shared" si="24"/>
        <v>49.820150825312616</v>
      </c>
      <c r="AD30" s="6">
        <f t="shared" si="24"/>
        <v>65.740150825312611</v>
      </c>
      <c r="AE30" s="6">
        <f t="shared" si="24"/>
        <v>52.920150825312618</v>
      </c>
    </row>
    <row r="31" spans="3:38" x14ac:dyDescent="0.25">
      <c r="C31">
        <f>+RANK(Q34,$Q$26:$Q$55)</f>
        <v>2</v>
      </c>
      <c r="D31" t="str">
        <f>"Customer "&amp;C31</f>
        <v>Customer 2</v>
      </c>
      <c r="E31" s="10">
        <f>+Q34/SUM($Q$26:$Q$55)</f>
        <v>0.27426722733391873</v>
      </c>
      <c r="F31" s="11">
        <f>+E31*SUM($E$21:$P$22)</f>
        <v>17016799.830388755</v>
      </c>
      <c r="G31" t="s">
        <v>49</v>
      </c>
      <c r="Q31" s="1"/>
      <c r="S31" t="s">
        <v>1</v>
      </c>
      <c r="T31" s="6">
        <f t="shared" ref="T31:AE31" si="25">T14+$AG$27</f>
        <v>27.130150825312615</v>
      </c>
      <c r="U31" s="6">
        <f t="shared" si="25"/>
        <v>25.610150825312619</v>
      </c>
      <c r="V31" s="6">
        <f t="shared" si="25"/>
        <v>46.910150825312613</v>
      </c>
      <c r="W31" s="6">
        <f t="shared" si="25"/>
        <v>30.950150825312615</v>
      </c>
      <c r="X31" s="6">
        <f t="shared" si="25"/>
        <v>36.230150825312613</v>
      </c>
      <c r="Y31" s="6">
        <f t="shared" si="25"/>
        <v>30.060150825312622</v>
      </c>
      <c r="Z31" s="6">
        <f t="shared" si="25"/>
        <v>15.89015082531262</v>
      </c>
      <c r="AA31" s="6">
        <f t="shared" si="25"/>
        <v>10.560150825312618</v>
      </c>
      <c r="AB31" s="6">
        <f t="shared" si="25"/>
        <v>4.5501508253126177</v>
      </c>
      <c r="AC31" s="6">
        <f t="shared" si="25"/>
        <v>31.14015082531262</v>
      </c>
      <c r="AD31" s="6">
        <f t="shared" si="25"/>
        <v>43.150150825312615</v>
      </c>
      <c r="AE31" s="6">
        <f t="shared" si="25"/>
        <v>38.400150825312615</v>
      </c>
    </row>
    <row r="32" spans="3:38" x14ac:dyDescent="0.25">
      <c r="E32" t="s">
        <v>2</v>
      </c>
      <c r="F32" t="s">
        <v>3</v>
      </c>
      <c r="G32" t="s">
        <v>4</v>
      </c>
      <c r="H32" t="s">
        <v>5</v>
      </c>
      <c r="I32" t="s">
        <v>6</v>
      </c>
      <c r="J32" t="s">
        <v>7</v>
      </c>
      <c r="K32" t="s">
        <v>8</v>
      </c>
      <c r="L32" t="s">
        <v>9</v>
      </c>
      <c r="M32" t="s">
        <v>10</v>
      </c>
      <c r="N32" t="s">
        <v>11</v>
      </c>
      <c r="O32" t="s">
        <v>12</v>
      </c>
      <c r="P32" t="s">
        <v>13</v>
      </c>
      <c r="Q32" s="1"/>
    </row>
    <row r="33" spans="3:32" x14ac:dyDescent="0.25">
      <c r="D33" t="s">
        <v>0</v>
      </c>
      <c r="E33" s="8">
        <v>96837.983999999997</v>
      </c>
      <c r="F33" s="8">
        <v>101994.4</v>
      </c>
      <c r="G33" s="8">
        <v>119301.19999999998</v>
      </c>
      <c r="H33" s="8">
        <v>125607.45599999998</v>
      </c>
      <c r="I33" s="8">
        <v>108484.22399999999</v>
      </c>
      <c r="J33" s="8">
        <v>107693.24799999999</v>
      </c>
      <c r="K33" s="8">
        <v>96245.760000000009</v>
      </c>
      <c r="L33" s="8">
        <v>85116.927999999985</v>
      </c>
      <c r="M33" s="8">
        <v>82094</v>
      </c>
      <c r="N33" s="8">
        <v>88346.752000000008</v>
      </c>
      <c r="O33" s="8">
        <v>88971.584000000003</v>
      </c>
      <c r="P33" s="8">
        <v>80771.600000000006</v>
      </c>
      <c r="Q33" s="1"/>
      <c r="S33" t="s">
        <v>53</v>
      </c>
    </row>
    <row r="34" spans="3:32" x14ac:dyDescent="0.25">
      <c r="D34" t="s">
        <v>1</v>
      </c>
      <c r="E34" s="8">
        <v>54570.983999999997</v>
      </c>
      <c r="F34" s="8">
        <v>66674.268000000011</v>
      </c>
      <c r="G34" s="8">
        <v>84353.616000000009</v>
      </c>
      <c r="H34" s="8">
        <v>81773.679999999993</v>
      </c>
      <c r="I34" s="8">
        <v>67657.535999999993</v>
      </c>
      <c r="J34" s="8">
        <v>69878.592000000004</v>
      </c>
      <c r="K34" s="8">
        <v>56949.84</v>
      </c>
      <c r="L34" s="8">
        <v>52328.464</v>
      </c>
      <c r="M34" s="8">
        <v>50474.240000000005</v>
      </c>
      <c r="N34" s="8">
        <v>52855.560000000005</v>
      </c>
      <c r="O34" s="8">
        <v>52703.368000000002</v>
      </c>
      <c r="P34" s="8">
        <v>49315.199999999997</v>
      </c>
      <c r="Q34" s="1">
        <f>+SUM(E33:P34)</f>
        <v>1921000.4839999997</v>
      </c>
      <c r="S34" t="s">
        <v>28</v>
      </c>
    </row>
    <row r="35" spans="3:32" x14ac:dyDescent="0.25">
      <c r="C35" t="str">
        <f>+C31&amp;D35</f>
        <v>2HLH</v>
      </c>
      <c r="D35" s="4" t="s">
        <v>0</v>
      </c>
      <c r="E35" s="12">
        <f>+E33/$Q$34*$F$31</f>
        <v>857819.97632562241</v>
      </c>
      <c r="F35" s="12">
        <f t="shared" ref="F35:P35" si="26">+F33/$Q$34*$F$31</f>
        <v>903497.05951484968</v>
      </c>
      <c r="G35" s="12">
        <f t="shared" si="26"/>
        <v>1056805.8971531081</v>
      </c>
      <c r="H35" s="12">
        <f t="shared" si="26"/>
        <v>1112668.6087583324</v>
      </c>
      <c r="I35" s="12">
        <f t="shared" si="26"/>
        <v>960985.8716532503</v>
      </c>
      <c r="J35" s="12">
        <f t="shared" si="26"/>
        <v>953979.16844065429</v>
      </c>
      <c r="K35" s="12">
        <f t="shared" si="26"/>
        <v>852573.87808322755</v>
      </c>
      <c r="L35" s="12">
        <f t="shared" si="26"/>
        <v>753991.33837678505</v>
      </c>
      <c r="M35" s="12">
        <f t="shared" si="26"/>
        <v>727213.33331841824</v>
      </c>
      <c r="N35" s="12">
        <f t="shared" si="26"/>
        <v>782602.09040582296</v>
      </c>
      <c r="O35" s="12">
        <f t="shared" si="26"/>
        <v>788137.04011571663</v>
      </c>
      <c r="P35" s="12">
        <f t="shared" si="26"/>
        <v>715499.11654276738</v>
      </c>
      <c r="Q35" s="1"/>
      <c r="R35" s="4" t="str">
        <f>+RIGHT(S34,1)&amp;S35</f>
        <v>1HLH</v>
      </c>
      <c r="S35" s="4" t="s">
        <v>0</v>
      </c>
      <c r="T35" s="1">
        <f>+VLOOKUP($R35,$C$28:$Q$58,2+MATCH(T$29,$T$29:$AE$29,0),FALSE)*VLOOKUP($S35,$S$29:$AE$31,1+MATCH(T$29,$T$29:$AE$29,0),FALSE)</f>
        <v>32314898.951988302</v>
      </c>
      <c r="U35" s="1">
        <f t="shared" ref="U35:AE48" si="27">+VLOOKUP($R35,$C$28:$Q$58,2+MATCH(U$29,$T$29:$AE$29,0),FALSE)*VLOOKUP($S35,$S$29:$AE$31,1+MATCH(U$29,$T$29:$AE$29,0),FALSE)</f>
        <v>26737899.668980058</v>
      </c>
      <c r="V35" s="1">
        <f t="shared" si="27"/>
        <v>59618630.506392583</v>
      </c>
      <c r="W35" s="1">
        <f t="shared" si="27"/>
        <v>44216913.221388102</v>
      </c>
      <c r="X35" s="1">
        <f t="shared" si="27"/>
        <v>36837616.491765797</v>
      </c>
      <c r="Y35" s="1">
        <f t="shared" si="27"/>
        <v>25584229.110607047</v>
      </c>
      <c r="Z35" s="1">
        <f t="shared" si="27"/>
        <v>12842733.876836782</v>
      </c>
      <c r="AA35" s="1">
        <f t="shared" si="27"/>
        <v>12081133.219895154</v>
      </c>
      <c r="AB35" s="1">
        <f t="shared" si="27"/>
        <v>12150204.0766386</v>
      </c>
      <c r="AC35" s="1">
        <f t="shared" si="27"/>
        <v>57675501.352032237</v>
      </c>
      <c r="AD35" s="1">
        <f t="shared" si="27"/>
        <v>75544366.985793933</v>
      </c>
      <c r="AE35" s="1">
        <f t="shared" si="27"/>
        <v>44716797.788635887</v>
      </c>
      <c r="AF35" s="1">
        <f>+SUM(T35:AE35)</f>
        <v>440320925.25095451</v>
      </c>
    </row>
    <row r="36" spans="3:32" x14ac:dyDescent="0.25">
      <c r="C36" t="str">
        <f>+C31&amp;D36</f>
        <v>2LLH</v>
      </c>
      <c r="D36" s="4" t="s">
        <v>1</v>
      </c>
      <c r="E36" s="12">
        <f>+E34/$Q$34*$F$31</f>
        <v>483406.1828770198</v>
      </c>
      <c r="F36" s="12">
        <f t="shared" ref="F36:P36" si="28">+F34/$Q$34*$F$31</f>
        <v>590620.71136557544</v>
      </c>
      <c r="G36" s="12">
        <f t="shared" si="28"/>
        <v>747229.69119328889</v>
      </c>
      <c r="H36" s="12">
        <f t="shared" si="28"/>
        <v>724375.84245515696</v>
      </c>
      <c r="I36" s="12">
        <f t="shared" si="28"/>
        <v>599330.79492619284</v>
      </c>
      <c r="J36" s="12">
        <f t="shared" si="28"/>
        <v>619005.57672811358</v>
      </c>
      <c r="K36" s="12">
        <f t="shared" si="28"/>
        <v>504478.8045210439</v>
      </c>
      <c r="L36" s="12">
        <f t="shared" si="28"/>
        <v>463541.26651001105</v>
      </c>
      <c r="M36" s="12">
        <f t="shared" si="28"/>
        <v>447115.99285104685</v>
      </c>
      <c r="N36" s="12">
        <f t="shared" si="28"/>
        <v>468210.44134786533</v>
      </c>
      <c r="O36" s="12">
        <f t="shared" si="28"/>
        <v>466862.27885579038</v>
      </c>
      <c r="P36" s="12">
        <f t="shared" si="28"/>
        <v>436848.86806909705</v>
      </c>
      <c r="Q36" s="1"/>
      <c r="R36" s="4" t="str">
        <f>+RIGHT(S34,1)&amp;S36</f>
        <v>1LLH</v>
      </c>
      <c r="S36" s="4" t="s">
        <v>1</v>
      </c>
      <c r="T36" s="1">
        <f>+VLOOKUP($R36,$C$28:$Q$58,2+MATCH(T$29,$T$29:$AE$29,0),FALSE)*VLOOKUP($S36,$S$29:$AE$31,1+MATCH(T$29,$T$29:$AE$29,0),FALSE)</f>
        <v>13704316.421987176</v>
      </c>
      <c r="U36" s="1">
        <f t="shared" si="27"/>
        <v>14945066.398287419</v>
      </c>
      <c r="V36" s="1">
        <f t="shared" si="27"/>
        <v>35814423.204987869</v>
      </c>
      <c r="W36" s="1">
        <f t="shared" si="27"/>
        <v>23877787.481822368</v>
      </c>
      <c r="X36" s="1">
        <f t="shared" si="27"/>
        <v>20762647.761414476</v>
      </c>
      <c r="Y36" s="1">
        <f t="shared" si="27"/>
        <v>17949468.599131599</v>
      </c>
      <c r="Z36" s="1">
        <f t="shared" si="27"/>
        <v>9291628.8230584674</v>
      </c>
      <c r="AA36" s="1">
        <f t="shared" si="27"/>
        <v>7570908.9270758638</v>
      </c>
      <c r="AB36" s="1">
        <f t="shared" si="27"/>
        <v>3018274.59054056</v>
      </c>
      <c r="AC36" s="1">
        <f t="shared" si="27"/>
        <v>25532465.100681376</v>
      </c>
      <c r="AD36" s="1">
        <f t="shared" si="27"/>
        <v>32757775.885052711</v>
      </c>
      <c r="AE36" s="1">
        <f t="shared" si="27"/>
        <v>23314952.924344424</v>
      </c>
      <c r="AF36" s="1">
        <f t="shared" ref="AF36:AF48" si="29">+SUM(T36:AE36)</f>
        <v>228539716.1183843</v>
      </c>
    </row>
    <row r="37" spans="3:32" x14ac:dyDescent="0.25">
      <c r="P37" s="16"/>
      <c r="Q37" s="1"/>
      <c r="R37" s="4"/>
      <c r="S37" t="s">
        <v>27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3:32" x14ac:dyDescent="0.25">
      <c r="C38">
        <f>+RANK(Q41,$Q$26:$Q$55)</f>
        <v>5</v>
      </c>
      <c r="D38" t="str">
        <f>"Customer "&amp;C38</f>
        <v>Customer 5</v>
      </c>
      <c r="E38" s="10">
        <f>+Q41/SUM($Q$26:$Q$55)</f>
        <v>5.4578012023511847E-2</v>
      </c>
      <c r="F38" s="11">
        <f>+E38*SUM($E$21:$P$22)</f>
        <v>3386270.8088484542</v>
      </c>
      <c r="G38" t="s">
        <v>49</v>
      </c>
      <c r="Q38" s="1"/>
      <c r="R38" s="4" t="str">
        <f>+RIGHT(S37,1)&amp;S38</f>
        <v>2HLH</v>
      </c>
      <c r="S38" s="4" t="s">
        <v>0</v>
      </c>
      <c r="T38" s="1">
        <f>+VLOOKUP($R38,$C$28:$Q$58,2+MATCH(T$29,$T$29:$AE$29,0),FALSE)*VLOOKUP($S38,$S$29:$AE$31,1+MATCH(T$29,$T$29:$AE$29,0),FALSE)</f>
        <v>35968520.988299444</v>
      </c>
      <c r="U38" s="1">
        <f t="shared" si="27"/>
        <v>31188854.764679056</v>
      </c>
      <c r="V38" s="1">
        <f t="shared" si="27"/>
        <v>59022768.749080904</v>
      </c>
      <c r="W38" s="1">
        <f t="shared" si="27"/>
        <v>49068853.464833215</v>
      </c>
      <c r="X38" s="1">
        <f t="shared" si="27"/>
        <v>42802455.664430283</v>
      </c>
      <c r="Y38" s="1">
        <f t="shared" si="27"/>
        <v>27942193.727833077</v>
      </c>
      <c r="Z38" s="1">
        <f t="shared" si="27"/>
        <v>12481810.164860144</v>
      </c>
      <c r="AA38" s="1">
        <f t="shared" si="27"/>
        <v>9372226.0570027605</v>
      </c>
      <c r="AB38" s="1">
        <f t="shared" si="27"/>
        <v>8792118.8819980156</v>
      </c>
      <c r="AC38" s="1">
        <f t="shared" si="27"/>
        <v>38989354.18022304</v>
      </c>
      <c r="AD38" s="1">
        <f t="shared" si="27"/>
        <v>51812247.888222665</v>
      </c>
      <c r="AE38" s="1">
        <f t="shared" si="27"/>
        <v>37864321.162821181</v>
      </c>
      <c r="AF38" s="1">
        <f t="shared" si="29"/>
        <v>405305725.69428372</v>
      </c>
    </row>
    <row r="39" spans="3:32" x14ac:dyDescent="0.25">
      <c r="E39" t="s">
        <v>2</v>
      </c>
      <c r="F39" t="s">
        <v>3</v>
      </c>
      <c r="G39" t="s">
        <v>4</v>
      </c>
      <c r="H39" t="s">
        <v>5</v>
      </c>
      <c r="I39" t="s">
        <v>6</v>
      </c>
      <c r="J39" t="s">
        <v>7</v>
      </c>
      <c r="K39" t="s">
        <v>8</v>
      </c>
      <c r="L39" t="s">
        <v>9</v>
      </c>
      <c r="M39" t="s">
        <v>10</v>
      </c>
      <c r="N39" t="s">
        <v>11</v>
      </c>
      <c r="O39" t="s">
        <v>12</v>
      </c>
      <c r="P39" t="s">
        <v>13</v>
      </c>
      <c r="Q39" s="1"/>
      <c r="R39" s="4" t="str">
        <f>+RIGHT(S37,1)&amp;S39</f>
        <v>2LLH</v>
      </c>
      <c r="S39" s="4" t="s">
        <v>1</v>
      </c>
      <c r="T39" s="1">
        <f>+VLOOKUP($R39,$C$28:$Q$58,2+MATCH(T$29,$T$29:$AE$29,0),FALSE)*VLOOKUP($S39,$S$29:$AE$31,1+MATCH(T$29,$T$29:$AE$29,0),FALSE)</f>
        <v>13114882.6513422</v>
      </c>
      <c r="U39" s="1">
        <f t="shared" si="27"/>
        <v>15125885.498625819</v>
      </c>
      <c r="V39" s="1">
        <f t="shared" si="27"/>
        <v>35052657.515028946</v>
      </c>
      <c r="W39" s="1">
        <f t="shared" si="27"/>
        <v>22419541.578199998</v>
      </c>
      <c r="X39" s="1">
        <f t="shared" si="27"/>
        <v>21713845.094430469</v>
      </c>
      <c r="Y39" s="1">
        <f t="shared" si="27"/>
        <v>18607400.998156719</v>
      </c>
      <c r="Z39" s="1">
        <f t="shared" si="27"/>
        <v>8016244.2920127902</v>
      </c>
      <c r="AA39" s="1">
        <f t="shared" si="27"/>
        <v>4895065.6881021494</v>
      </c>
      <c r="AB39" s="1">
        <f t="shared" si="27"/>
        <v>2034445.2038816612</v>
      </c>
      <c r="AC39" s="1">
        <f t="shared" si="27"/>
        <v>14580143.761558715</v>
      </c>
      <c r="AD39" s="1">
        <f t="shared" si="27"/>
        <v>20145177.747276511</v>
      </c>
      <c r="AE39" s="1">
        <f t="shared" si="27"/>
        <v>16775062.421720419</v>
      </c>
      <c r="AF39" s="1">
        <f t="shared" si="29"/>
        <v>192480352.4503364</v>
      </c>
    </row>
    <row r="40" spans="3:32" x14ac:dyDescent="0.25">
      <c r="D40" t="s">
        <v>0</v>
      </c>
      <c r="E40" s="8">
        <v>18618.768</v>
      </c>
      <c r="F40" s="8">
        <v>17372.8</v>
      </c>
      <c r="G40" s="8">
        <v>17301.2</v>
      </c>
      <c r="H40" s="8">
        <v>18005.311999999998</v>
      </c>
      <c r="I40" s="8">
        <v>16598.784</v>
      </c>
      <c r="J40" s="8">
        <v>18301.919999999998</v>
      </c>
      <c r="K40" s="8">
        <v>17949.567999999999</v>
      </c>
      <c r="L40" s="8">
        <v>17856.383999999998</v>
      </c>
      <c r="M40" s="8">
        <v>17709.599999999999</v>
      </c>
      <c r="N40" s="8">
        <v>18987.904000000002</v>
      </c>
      <c r="O40" s="8">
        <v>19678.464</v>
      </c>
      <c r="P40" s="8">
        <v>17650.800000000003</v>
      </c>
      <c r="Q40" s="1"/>
      <c r="R40" s="4"/>
      <c r="S40" t="s">
        <v>25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3:32" x14ac:dyDescent="0.25">
      <c r="D41" t="s">
        <v>1</v>
      </c>
      <c r="E41" s="8">
        <v>13377.312000000002</v>
      </c>
      <c r="F41" s="8">
        <v>13801.074000000001</v>
      </c>
      <c r="G41" s="8">
        <v>14296.984</v>
      </c>
      <c r="H41" s="8">
        <v>14153.856</v>
      </c>
      <c r="I41" s="8">
        <v>12284.64</v>
      </c>
      <c r="J41" s="8">
        <v>13854.99</v>
      </c>
      <c r="K41" s="8">
        <v>13050.720000000001</v>
      </c>
      <c r="L41" s="8">
        <v>14098.752</v>
      </c>
      <c r="M41" s="8">
        <v>13530.240000000002</v>
      </c>
      <c r="N41" s="8">
        <v>14860.368</v>
      </c>
      <c r="O41" s="8">
        <v>14888.248</v>
      </c>
      <c r="P41" s="8">
        <v>14042.240000000002</v>
      </c>
      <c r="Q41" s="1">
        <f>+SUM(E40:P41)</f>
        <v>382270.92799999996</v>
      </c>
      <c r="R41" s="4" t="str">
        <f>+RIGHT(S40,1)&amp;S41</f>
        <v>3HLH</v>
      </c>
      <c r="S41" s="4" t="s">
        <v>0</v>
      </c>
      <c r="T41" s="1">
        <f>+VLOOKUP($R41,$C$28:$Q$58,2+MATCH(T$29,$T$29:$AE$29,0),FALSE)*VLOOKUP($S41,$S$29:$AE$31,1+MATCH(T$29,$T$29:$AE$29,0),FALSE)</f>
        <v>29498866.157203034</v>
      </c>
      <c r="U41" s="1">
        <f t="shared" si="27"/>
        <v>25344354.053401206</v>
      </c>
      <c r="V41" s="1">
        <f t="shared" si="27"/>
        <v>50646864.106697261</v>
      </c>
      <c r="W41" s="1">
        <f t="shared" si="27"/>
        <v>40324277.749414608</v>
      </c>
      <c r="X41" s="1">
        <f t="shared" si="27"/>
        <v>34869386.2227263</v>
      </c>
      <c r="Y41" s="1">
        <f t="shared" si="27"/>
        <v>22801969.020053364</v>
      </c>
      <c r="Z41" s="1">
        <f t="shared" si="27"/>
        <v>10082395.8016074</v>
      </c>
      <c r="AA41" s="1">
        <f t="shared" si="27"/>
        <v>7694086.0340107335</v>
      </c>
      <c r="AB41" s="1">
        <f t="shared" si="27"/>
        <v>7851197.016213893</v>
      </c>
      <c r="AC41" s="1">
        <f t="shared" si="27"/>
        <v>35937906.457220532</v>
      </c>
      <c r="AD41" s="1">
        <f t="shared" si="27"/>
        <v>49467210.344818622</v>
      </c>
      <c r="AE41" s="1">
        <f t="shared" si="27"/>
        <v>33666466.679948099</v>
      </c>
      <c r="AF41" s="1">
        <f t="shared" si="29"/>
        <v>348184979.64331508</v>
      </c>
    </row>
    <row r="42" spans="3:32" x14ac:dyDescent="0.25">
      <c r="C42" t="str">
        <f>+C38&amp;D42</f>
        <v>5HLH</v>
      </c>
      <c r="D42" s="4" t="s">
        <v>0</v>
      </c>
      <c r="E42" s="12">
        <f>+E40/$Q$41*$F$38</f>
        <v>164930.64462155939</v>
      </c>
      <c r="F42" s="12">
        <f t="shared" ref="F42:P42" si="30">+F40/$Q$41*$F$38</f>
        <v>153893.48548096346</v>
      </c>
      <c r="G42" s="12">
        <f t="shared" si="30"/>
        <v>153259.23115463514</v>
      </c>
      <c r="H42" s="12">
        <f t="shared" si="30"/>
        <v>159496.46693982647</v>
      </c>
      <c r="I42" s="12">
        <f t="shared" si="30"/>
        <v>147037.01904734116</v>
      </c>
      <c r="J42" s="12">
        <f t="shared" si="30"/>
        <v>162123.90977814482</v>
      </c>
      <c r="K42" s="12">
        <f t="shared" si="30"/>
        <v>159002.66982855764</v>
      </c>
      <c r="L42" s="12">
        <f t="shared" si="30"/>
        <v>158177.21794106351</v>
      </c>
      <c r="M42" s="12">
        <f t="shared" si="30"/>
        <v>156876.96113888783</v>
      </c>
      <c r="N42" s="12">
        <f t="shared" si="30"/>
        <v>168200.5622892066</v>
      </c>
      <c r="O42" s="12">
        <f t="shared" si="30"/>
        <v>174317.7503840292</v>
      </c>
      <c r="P42" s="12">
        <f t="shared" si="30"/>
        <v>156356.0930608417</v>
      </c>
      <c r="Q42" s="1"/>
      <c r="R42" s="4" t="str">
        <f>+RIGHT(S40,1)&amp;S42</f>
        <v>3LLH</v>
      </c>
      <c r="S42" s="4" t="s">
        <v>1</v>
      </c>
      <c r="T42" s="1">
        <f>+VLOOKUP($R42,$C$28:$Q$58,2+MATCH(T$29,$T$29:$AE$29,0),FALSE)*VLOOKUP($S42,$S$29:$AE$31,1+MATCH(T$29,$T$29:$AE$29,0),FALSE)</f>
        <v>11120735.452473968</v>
      </c>
      <c r="U42" s="1">
        <f t="shared" si="27"/>
        <v>12425614.761393523</v>
      </c>
      <c r="V42" s="1">
        <f t="shared" si="27"/>
        <v>29566057.644133154</v>
      </c>
      <c r="W42" s="1">
        <f t="shared" si="27"/>
        <v>19423734.71872323</v>
      </c>
      <c r="X42" s="1">
        <f t="shared" si="27"/>
        <v>17904619.12141956</v>
      </c>
      <c r="Y42" s="1">
        <f t="shared" si="27"/>
        <v>14674435.063910201</v>
      </c>
      <c r="Z42" s="1">
        <f t="shared" si="27"/>
        <v>6587368.5912687164</v>
      </c>
      <c r="AA42" s="1">
        <f t="shared" si="27"/>
        <v>4172271.9811820285</v>
      </c>
      <c r="AB42" s="1">
        <f t="shared" si="27"/>
        <v>1729546.7040556357</v>
      </c>
      <c r="AC42" s="1">
        <f t="shared" si="27"/>
        <v>13667488.015970312</v>
      </c>
      <c r="AD42" s="1">
        <f t="shared" si="27"/>
        <v>18521587.827950452</v>
      </c>
      <c r="AE42" s="1">
        <f t="shared" si="27"/>
        <v>15214462.396152934</v>
      </c>
      <c r="AF42" s="1">
        <f t="shared" si="29"/>
        <v>165007922.27863371</v>
      </c>
    </row>
    <row r="43" spans="3:32" x14ac:dyDescent="0.25">
      <c r="C43" t="str">
        <f>+C38&amp;D43</f>
        <v>5LLH</v>
      </c>
      <c r="D43" s="4" t="s">
        <v>1</v>
      </c>
      <c r="E43" s="12">
        <f>+E41/$Q$41*$F$38</f>
        <v>118500.25154530753</v>
      </c>
      <c r="F43" s="12">
        <f t="shared" ref="F43:P43" si="31">+F41/$Q$41*$F$38</f>
        <v>122254.06274410013</v>
      </c>
      <c r="G43" s="12">
        <f t="shared" si="31"/>
        <v>126646.98261797562</v>
      </c>
      <c r="H43" s="12">
        <f t="shared" si="31"/>
        <v>125379.11176296555</v>
      </c>
      <c r="I43" s="12">
        <f t="shared" si="31"/>
        <v>108821.0344607008</v>
      </c>
      <c r="J43" s="12">
        <f t="shared" si="31"/>
        <v>122731.66688178612</v>
      </c>
      <c r="K43" s="12">
        <f t="shared" si="31"/>
        <v>115607.20142038818</v>
      </c>
      <c r="L43" s="12">
        <f t="shared" si="31"/>
        <v>124890.98396411084</v>
      </c>
      <c r="M43" s="12">
        <f t="shared" si="31"/>
        <v>119854.93374665866</v>
      </c>
      <c r="N43" s="12">
        <f t="shared" si="31"/>
        <v>131637.60746970979</v>
      </c>
      <c r="O43" s="12">
        <f t="shared" si="31"/>
        <v>131884.57689174937</v>
      </c>
      <c r="P43" s="12">
        <f t="shared" si="31"/>
        <v>124390.38367794509</v>
      </c>
      <c r="Q43" s="1"/>
      <c r="R43" s="4"/>
      <c r="S43" t="s">
        <v>24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3:32" x14ac:dyDescent="0.25">
      <c r="P44" s="16"/>
      <c r="Q44" s="1"/>
      <c r="R44" s="4" t="str">
        <f>+RIGHT(S43,1)&amp;S44</f>
        <v>4HLH</v>
      </c>
      <c r="S44" s="4" t="s">
        <v>0</v>
      </c>
      <c r="T44" s="1">
        <f>+VLOOKUP($R44,$C$28:$Q$58,2+MATCH(T$29,$T$29:$AE$29,0),FALSE)*VLOOKUP($S44,$S$29:$AE$31,1+MATCH(T$29,$T$29:$AE$29,0),FALSE)</f>
        <v>14842017.176754855</v>
      </c>
      <c r="U44" s="1">
        <f t="shared" si="27"/>
        <v>11835291.298464799</v>
      </c>
      <c r="V44" s="1">
        <f t="shared" si="27"/>
        <v>23034183.0302395</v>
      </c>
      <c r="W44" s="1">
        <f t="shared" si="27"/>
        <v>18631931.56856183</v>
      </c>
      <c r="X44" s="1">
        <f t="shared" si="27"/>
        <v>16345507.72116033</v>
      </c>
      <c r="Y44" s="1">
        <f t="shared" si="27"/>
        <v>10272570.105065152</v>
      </c>
      <c r="Z44" s="1">
        <f t="shared" si="27"/>
        <v>5233987.2707212633</v>
      </c>
      <c r="AA44" s="1">
        <f t="shared" si="27"/>
        <v>4875199.2282751305</v>
      </c>
      <c r="AB44" s="1">
        <f t="shared" si="27"/>
        <v>5342614.6716233511</v>
      </c>
      <c r="AC44" s="1">
        <f t="shared" si="27"/>
        <v>24774171.835938059</v>
      </c>
      <c r="AD44" s="1">
        <f t="shared" si="27"/>
        <v>32354492.676583305</v>
      </c>
      <c r="AE44" s="1">
        <f t="shared" si="27"/>
        <v>19176958.858419158</v>
      </c>
      <c r="AF44" s="1">
        <f t="shared" si="29"/>
        <v>186718925.4418067</v>
      </c>
    </row>
    <row r="45" spans="3:32" x14ac:dyDescent="0.25">
      <c r="C45">
        <f>+RANK(Q48,$Q$26:$Q$55)</f>
        <v>1</v>
      </c>
      <c r="D45" t="str">
        <f>"Customer "&amp;C45</f>
        <v>Customer 1</v>
      </c>
      <c r="E45" s="10">
        <f>+Q48/SUM($Q$26:$Q$55)</f>
        <v>0.31053326342091669</v>
      </c>
      <c r="F45" s="11">
        <f>+E45*SUM($E$21:$P$22)</f>
        <v>19266911.455948543</v>
      </c>
      <c r="G45" t="s">
        <v>49</v>
      </c>
      <c r="Q45" s="1"/>
      <c r="R45" s="4" t="str">
        <f>+RIGHT(S43,1)&amp;S45</f>
        <v>4LLH</v>
      </c>
      <c r="S45" s="4" t="s">
        <v>1</v>
      </c>
      <c r="T45" s="1">
        <f>+VLOOKUP($R45,$C$28:$Q$58,2+MATCH(T$29,$T$29:$AE$29,0),FALSE)*VLOOKUP($S45,$S$29:$AE$31,1+MATCH(T$29,$T$29:$AE$29,0),FALSE)</f>
        <v>5647496.8499476397</v>
      </c>
      <c r="U45" s="1">
        <f t="shared" si="27"/>
        <v>5867117.3809761107</v>
      </c>
      <c r="V45" s="1">
        <f t="shared" si="27"/>
        <v>14082730.433042591</v>
      </c>
      <c r="W45" s="1">
        <f t="shared" si="27"/>
        <v>8775733.9197520427</v>
      </c>
      <c r="X45" s="1">
        <f t="shared" si="27"/>
        <v>8481655.9002572056</v>
      </c>
      <c r="Y45" s="1">
        <f t="shared" si="27"/>
        <v>6992926.2792095579</v>
      </c>
      <c r="Z45" s="1">
        <f t="shared" si="27"/>
        <v>3465982.0917845145</v>
      </c>
      <c r="AA45" s="1">
        <f t="shared" si="27"/>
        <v>2697689.3619659087</v>
      </c>
      <c r="AB45" s="1">
        <f t="shared" si="27"/>
        <v>1284161.9543838028</v>
      </c>
      <c r="AC45" s="1">
        <f t="shared" si="27"/>
        <v>9947377.6129156221</v>
      </c>
      <c r="AD45" s="1">
        <f t="shared" si="27"/>
        <v>13216648.812008856</v>
      </c>
      <c r="AE45" s="1">
        <f t="shared" si="27"/>
        <v>9052067.9449112322</v>
      </c>
      <c r="AF45" s="1">
        <f t="shared" si="29"/>
        <v>89511588.5411551</v>
      </c>
    </row>
    <row r="46" spans="3:32" x14ac:dyDescent="0.25">
      <c r="E46" t="s">
        <v>2</v>
      </c>
      <c r="F46" t="s">
        <v>3</v>
      </c>
      <c r="G46" t="s">
        <v>4</v>
      </c>
      <c r="H46" t="s">
        <v>5</v>
      </c>
      <c r="I46" t="s">
        <v>6</v>
      </c>
      <c r="J46" t="s">
        <v>7</v>
      </c>
      <c r="K46" t="s">
        <v>8</v>
      </c>
      <c r="L46" t="s">
        <v>9</v>
      </c>
      <c r="M46" t="s">
        <v>10</v>
      </c>
      <c r="N46" t="s">
        <v>11</v>
      </c>
      <c r="O46" t="s">
        <v>12</v>
      </c>
      <c r="P46" t="s">
        <v>13</v>
      </c>
      <c r="Q46" s="1"/>
      <c r="R46" s="4"/>
      <c r="S46" t="s">
        <v>23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3:32" x14ac:dyDescent="0.25">
      <c r="D47" t="s">
        <v>0</v>
      </c>
      <c r="E47" s="8">
        <v>87001.343999999997</v>
      </c>
      <c r="F47" s="8">
        <v>87438.800000000017</v>
      </c>
      <c r="G47" s="8">
        <v>120505.59999999998</v>
      </c>
      <c r="H47" s="8">
        <v>113187.35999999999</v>
      </c>
      <c r="I47" s="8">
        <v>93366.144000000015</v>
      </c>
      <c r="J47" s="8">
        <v>98605.31200000002</v>
      </c>
      <c r="K47" s="8">
        <v>99028.800000000003</v>
      </c>
      <c r="L47" s="8">
        <v>109718.75200000001</v>
      </c>
      <c r="M47" s="8">
        <v>113449.2</v>
      </c>
      <c r="N47" s="8">
        <v>130688.06400000001</v>
      </c>
      <c r="O47" s="8">
        <v>129724.192</v>
      </c>
      <c r="P47" s="8">
        <v>95389.2</v>
      </c>
      <c r="Q47" s="1"/>
      <c r="R47" s="4" t="str">
        <f>+RIGHT(S46,1)&amp;S47</f>
        <v>5HLH</v>
      </c>
      <c r="S47" s="4" t="s">
        <v>0</v>
      </c>
      <c r="T47" s="1">
        <f>+VLOOKUP($R47,$C$28:$Q$58,2+MATCH(T$29,$T$29:$AE$29,0),FALSE)*VLOOKUP($S47,$S$29:$AE$31,1+MATCH(T$29,$T$29:$AE$29,0),FALSE)</f>
        <v>6915566.8046980202</v>
      </c>
      <c r="U47" s="1">
        <f t="shared" si="27"/>
        <v>5312426.329835915</v>
      </c>
      <c r="V47" s="1">
        <f t="shared" si="27"/>
        <v>8559551.1753578223</v>
      </c>
      <c r="W47" s="1">
        <f t="shared" si="27"/>
        <v>7033818.2481508348</v>
      </c>
      <c r="X47" s="1">
        <f t="shared" si="27"/>
        <v>6549051.0052729389</v>
      </c>
      <c r="Y47" s="1">
        <f t="shared" si="27"/>
        <v>4748633.7697912371</v>
      </c>
      <c r="Z47" s="1">
        <f t="shared" si="27"/>
        <v>2327823.067917468</v>
      </c>
      <c r="AA47" s="1">
        <f t="shared" si="27"/>
        <v>1966166.6761357647</v>
      </c>
      <c r="AB47" s="1">
        <f t="shared" si="27"/>
        <v>1896666.1211858604</v>
      </c>
      <c r="AC47" s="1">
        <f t="shared" si="27"/>
        <v>8379777.3821506621</v>
      </c>
      <c r="AD47" s="1">
        <f t="shared" si="27"/>
        <v>11459675.201775275</v>
      </c>
      <c r="AE47" s="1">
        <f t="shared" si="27"/>
        <v>8274388.0272363583</v>
      </c>
      <c r="AF47" s="1">
        <f t="shared" si="29"/>
        <v>73423543.80950816</v>
      </c>
    </row>
    <row r="48" spans="3:32" x14ac:dyDescent="0.25">
      <c r="D48" t="s">
        <v>1</v>
      </c>
      <c r="E48" s="8">
        <v>57023.615999999995</v>
      </c>
      <c r="F48" s="8">
        <v>65877.225000000006</v>
      </c>
      <c r="G48" s="8">
        <v>86186.791999999987</v>
      </c>
      <c r="H48" s="8">
        <v>87092.528000000006</v>
      </c>
      <c r="I48" s="8">
        <v>64693.728000000003</v>
      </c>
      <c r="J48" s="8">
        <v>67407.78</v>
      </c>
      <c r="K48" s="8">
        <v>66010.560000000012</v>
      </c>
      <c r="L48" s="8">
        <v>80933.343999999997</v>
      </c>
      <c r="M48" s="8">
        <v>74882.87999999999</v>
      </c>
      <c r="N48" s="8">
        <v>92559.632000000012</v>
      </c>
      <c r="O48" s="8">
        <v>85700.167999999991</v>
      </c>
      <c r="P48" s="8">
        <v>68541.119999999995</v>
      </c>
      <c r="Q48" s="1">
        <f>+SUM(E47:P48)</f>
        <v>2175012.1410000003</v>
      </c>
      <c r="R48" s="4" t="str">
        <f>+RIGHT(S46,1)&amp;S48</f>
        <v>5LLH</v>
      </c>
      <c r="S48" s="4" t="s">
        <v>1</v>
      </c>
      <c r="T48" s="1">
        <f>+VLOOKUP($R48,$C$28:$Q$58,2+MATCH(T$29,$T$29:$AE$29,0),FALSE)*VLOOKUP($S48,$S$29:$AE$31,1+MATCH(T$29,$T$29:$AE$29,0),FALSE)</f>
        <v>3214929.6972616776</v>
      </c>
      <c r="U48" s="1">
        <f t="shared" si="27"/>
        <v>3130944.9858836364</v>
      </c>
      <c r="V48" s="1">
        <f t="shared" si="27"/>
        <v>5941029.0561799807</v>
      </c>
      <c r="W48" s="1">
        <f t="shared" si="27"/>
        <v>3880502.4194075107</v>
      </c>
      <c r="X48" s="1">
        <f t="shared" si="27"/>
        <v>3942602.4914777316</v>
      </c>
      <c r="Y48" s="1">
        <f t="shared" si="27"/>
        <v>3689332.4175085169</v>
      </c>
      <c r="Z48" s="1">
        <f t="shared" si="27"/>
        <v>1837015.8670622637</v>
      </c>
      <c r="AA48" s="1">
        <f t="shared" si="27"/>
        <v>1318867.6273827101</v>
      </c>
      <c r="AB48" s="1">
        <f t="shared" si="27"/>
        <v>545358.025705148</v>
      </c>
      <c r="AC48" s="1">
        <f t="shared" si="27"/>
        <v>4099214.9508900624</v>
      </c>
      <c r="AD48" s="1">
        <f t="shared" si="27"/>
        <v>5690839.384411524</v>
      </c>
      <c r="AE48" s="1">
        <f t="shared" si="27"/>
        <v>4776609.4944515964</v>
      </c>
      <c r="AF48" s="1">
        <f t="shared" si="29"/>
        <v>42067246.417622358</v>
      </c>
    </row>
    <row r="49" spans="3:17" x14ac:dyDescent="0.25">
      <c r="C49" t="str">
        <f>+C45&amp;D49</f>
        <v>1HLH</v>
      </c>
      <c r="D49" s="4" t="s">
        <v>0</v>
      </c>
      <c r="E49" s="12">
        <f>+E47/$Q$48*$F$45</f>
        <v>770684.06184888491</v>
      </c>
      <c r="F49" s="12">
        <f t="shared" ref="F49:P49" si="32">+F47/$Q$48*$F$45</f>
        <v>774559.1786167383</v>
      </c>
      <c r="G49" s="12">
        <f t="shared" si="32"/>
        <v>1067474.8344524077</v>
      </c>
      <c r="H49" s="12">
        <f t="shared" si="32"/>
        <v>1002647.6643251856</v>
      </c>
      <c r="I49" s="12">
        <f t="shared" si="32"/>
        <v>827065.37380718987</v>
      </c>
      <c r="J49" s="12">
        <f t="shared" si="32"/>
        <v>873475.4990915613</v>
      </c>
      <c r="K49" s="12">
        <f t="shared" si="32"/>
        <v>877226.88311597658</v>
      </c>
      <c r="L49" s="12">
        <f t="shared" si="32"/>
        <v>971921.6918344443</v>
      </c>
      <c r="M49" s="12">
        <f t="shared" si="32"/>
        <v>1004967.1217666077</v>
      </c>
      <c r="N49" s="12">
        <f t="shared" si="32"/>
        <v>1157674.1618921089</v>
      </c>
      <c r="O49" s="12">
        <f t="shared" si="32"/>
        <v>1149135.8939308412</v>
      </c>
      <c r="P49" s="12">
        <f t="shared" si="32"/>
        <v>844986.21208099567</v>
      </c>
      <c r="Q49" s="1"/>
    </row>
    <row r="50" spans="3:17" x14ac:dyDescent="0.25">
      <c r="C50" t="str">
        <f>+C45&amp;D50</f>
        <v>1LLH</v>
      </c>
      <c r="D50" s="4" t="s">
        <v>1</v>
      </c>
      <c r="E50" s="12">
        <f>+E48/$Q$48*$F$45</f>
        <v>505132.33450958022</v>
      </c>
      <c r="F50" s="12">
        <f t="shared" ref="F50:P50" si="33">+F48/$Q$48*$F$45</f>
        <v>583560.26484295365</v>
      </c>
      <c r="G50" s="12">
        <f t="shared" si="33"/>
        <v>763468.51534023392</v>
      </c>
      <c r="H50" s="12">
        <f t="shared" si="33"/>
        <v>771491.7971350851</v>
      </c>
      <c r="I50" s="12">
        <f t="shared" si="33"/>
        <v>573076.49260207918</v>
      </c>
      <c r="J50" s="12">
        <f t="shared" si="33"/>
        <v>597118.38118978986</v>
      </c>
      <c r="K50" s="12">
        <f t="shared" si="33"/>
        <v>584741.38635972736</v>
      </c>
      <c r="L50" s="12">
        <f t="shared" si="33"/>
        <v>716931.89352262288</v>
      </c>
      <c r="M50" s="12">
        <f t="shared" si="33"/>
        <v>663335.06435650727</v>
      </c>
      <c r="N50" s="12">
        <f t="shared" si="33"/>
        <v>819921.0480357412</v>
      </c>
      <c r="O50" s="12">
        <f t="shared" si="33"/>
        <v>759157.85364616709</v>
      </c>
      <c r="P50" s="12">
        <f t="shared" si="33"/>
        <v>607157.84764511057</v>
      </c>
      <c r="Q50" s="1"/>
    </row>
    <row r="51" spans="3:17" x14ac:dyDescent="0.25">
      <c r="P51" s="16"/>
      <c r="Q51" s="1"/>
    </row>
    <row r="52" spans="3:17" x14ac:dyDescent="0.25">
      <c r="C52">
        <f>+RANK(Q55,$Q$26:$Q$55)</f>
        <v>4</v>
      </c>
      <c r="D52" t="str">
        <f>"Customer "&amp;C52</f>
        <v>Customer 4</v>
      </c>
      <c r="E52" s="10">
        <f>+Q55/SUM($Q$26:$Q$55)</f>
        <v>0.12729349040115015</v>
      </c>
      <c r="F52" s="11">
        <f>+E52*SUM($E$21:$P$22)</f>
        <v>7897873.4241209086</v>
      </c>
      <c r="G52" t="s">
        <v>49</v>
      </c>
      <c r="Q52" s="1"/>
    </row>
    <row r="53" spans="3:17" x14ac:dyDescent="0.25">
      <c r="E53" t="s">
        <v>2</v>
      </c>
      <c r="F53" t="s">
        <v>3</v>
      </c>
      <c r="G53" t="s">
        <v>4</v>
      </c>
      <c r="H53" t="s">
        <v>5</v>
      </c>
      <c r="I53" t="s">
        <v>6</v>
      </c>
      <c r="J53" t="s">
        <v>7</v>
      </c>
      <c r="K53" t="s">
        <v>8</v>
      </c>
      <c r="L53" t="s">
        <v>9</v>
      </c>
      <c r="M53" t="s">
        <v>10</v>
      </c>
      <c r="N53" t="s">
        <v>11</v>
      </c>
      <c r="O53" t="s">
        <v>12</v>
      </c>
      <c r="P53" t="s">
        <v>13</v>
      </c>
      <c r="Q53" s="1"/>
    </row>
    <row r="54" spans="3:17" x14ac:dyDescent="0.25">
      <c r="D54" t="s">
        <v>0</v>
      </c>
      <c r="E54" s="8">
        <v>39959.135999999999</v>
      </c>
      <c r="F54" s="8">
        <v>38704</v>
      </c>
      <c r="G54" s="8">
        <v>46558.400000000001</v>
      </c>
      <c r="H54" s="8">
        <v>47694.399999999994</v>
      </c>
      <c r="I54" s="8">
        <v>41428.224000000009</v>
      </c>
      <c r="J54" s="8">
        <v>39591.967999999993</v>
      </c>
      <c r="K54" s="8">
        <v>40358.655999999995</v>
      </c>
      <c r="L54" s="8">
        <v>44275.712</v>
      </c>
      <c r="M54" s="8">
        <v>49885.200000000004</v>
      </c>
      <c r="N54" s="8">
        <v>56136.288</v>
      </c>
      <c r="O54" s="8">
        <v>55558.879999999997</v>
      </c>
      <c r="P54" s="8">
        <v>40908</v>
      </c>
      <c r="Q54" s="1"/>
    </row>
    <row r="55" spans="3:17" x14ac:dyDescent="0.25">
      <c r="D55" t="s">
        <v>1</v>
      </c>
      <c r="E55" s="8">
        <v>23499.216</v>
      </c>
      <c r="F55" s="8">
        <v>25862.006999999998</v>
      </c>
      <c r="G55" s="8">
        <v>33889.847999999998</v>
      </c>
      <c r="H55" s="8">
        <v>32008.863999999998</v>
      </c>
      <c r="I55" s="8">
        <v>26427.743999999999</v>
      </c>
      <c r="J55" s="8">
        <v>26261.37</v>
      </c>
      <c r="K55" s="8">
        <v>24623.392</v>
      </c>
      <c r="L55" s="8">
        <v>28838.416000000001</v>
      </c>
      <c r="M55" s="8">
        <v>31859.840000000004</v>
      </c>
      <c r="N55" s="8">
        <v>36060.976000000002</v>
      </c>
      <c r="O55" s="8">
        <v>34577.103999999999</v>
      </c>
      <c r="P55" s="8">
        <v>26611.200000000001</v>
      </c>
      <c r="Q55" s="1">
        <f>+SUM(E54:P55)</f>
        <v>891578.8409999999</v>
      </c>
    </row>
    <row r="56" spans="3:17" x14ac:dyDescent="0.25">
      <c r="C56" t="str">
        <f>+C52&amp;D56</f>
        <v>4HLH</v>
      </c>
      <c r="D56" s="4" t="s">
        <v>0</v>
      </c>
      <c r="E56" s="12">
        <f>+E54/$Q$55*$F$52</f>
        <v>353970.04028411332</v>
      </c>
      <c r="F56" s="12">
        <f t="shared" ref="F56:P56" si="34">+F54/$Q$55*$F$52</f>
        <v>342851.66824318533</v>
      </c>
      <c r="G56" s="12">
        <f t="shared" si="34"/>
        <v>412428.30484532658</v>
      </c>
      <c r="H56" s="12">
        <f t="shared" si="34"/>
        <v>422491.33438036835</v>
      </c>
      <c r="I56" s="12">
        <f t="shared" si="34"/>
        <v>366983.66346507776</v>
      </c>
      <c r="J56" s="12">
        <f t="shared" si="34"/>
        <v>350717.55575213948</v>
      </c>
      <c r="K56" s="12">
        <f t="shared" si="34"/>
        <v>357509.10855862027</v>
      </c>
      <c r="L56" s="12">
        <f t="shared" si="34"/>
        <v>392207.56825792731</v>
      </c>
      <c r="M56" s="12">
        <f t="shared" si="34"/>
        <v>441898.09943791211</v>
      </c>
      <c r="N56" s="12">
        <f t="shared" si="34"/>
        <v>497272.11631304014</v>
      </c>
      <c r="O56" s="12">
        <f t="shared" si="34"/>
        <v>492157.26265303179</v>
      </c>
      <c r="P56" s="12">
        <f t="shared" si="34"/>
        <v>362375.36286926997</v>
      </c>
    </row>
    <row r="57" spans="3:17" x14ac:dyDescent="0.25">
      <c r="C57" t="str">
        <f>+C52&amp;D57</f>
        <v>4LLH</v>
      </c>
      <c r="D57" s="4" t="s">
        <v>1</v>
      </c>
      <c r="E57" s="12">
        <f>+E55/$Q$55*$F$52</f>
        <v>208163.12029782331</v>
      </c>
      <c r="F57" s="12">
        <f t="shared" ref="F57:P57" si="35">+F55/$Q$55*$F$52</f>
        <v>229093.43334195268</v>
      </c>
      <c r="G57" s="12">
        <f t="shared" si="35"/>
        <v>300206.46246661781</v>
      </c>
      <c r="H57" s="12">
        <f t="shared" si="35"/>
        <v>283544.14068233874</v>
      </c>
      <c r="I57" s="12">
        <f t="shared" si="35"/>
        <v>234104.90177510932</v>
      </c>
      <c r="J57" s="12">
        <f t="shared" si="35"/>
        <v>232631.11086325804</v>
      </c>
      <c r="K57" s="12">
        <f t="shared" si="35"/>
        <v>218121.40928601447</v>
      </c>
      <c r="L57" s="12">
        <f t="shared" si="35"/>
        <v>255459.35911251983</v>
      </c>
      <c r="M57" s="12">
        <f t="shared" si="35"/>
        <v>282224.04128671373</v>
      </c>
      <c r="N57" s="12">
        <f t="shared" si="35"/>
        <v>319438.96703383292</v>
      </c>
      <c r="O57" s="12">
        <f t="shared" si="35"/>
        <v>306294.38273610262</v>
      </c>
      <c r="P57" s="12">
        <f t="shared" si="35"/>
        <v>235730.01017861342</v>
      </c>
    </row>
    <row r="58" spans="3:17" x14ac:dyDescent="0.25">
      <c r="P58" s="16"/>
      <c r="Q58" s="1"/>
    </row>
    <row r="60" spans="3:17" x14ac:dyDescent="0.25">
      <c r="D60" t="s">
        <v>17</v>
      </c>
    </row>
    <row r="62" spans="3:17" x14ac:dyDescent="0.25">
      <c r="D62" t="s">
        <v>16</v>
      </c>
    </row>
    <row r="63" spans="3:17" x14ac:dyDescent="0.25">
      <c r="E63" t="s">
        <v>2</v>
      </c>
      <c r="F63" t="s">
        <v>3</v>
      </c>
      <c r="G63" t="s">
        <v>4</v>
      </c>
      <c r="H63" t="s">
        <v>5</v>
      </c>
      <c r="I63" t="s">
        <v>6</v>
      </c>
      <c r="J63" t="s">
        <v>7</v>
      </c>
      <c r="K63" t="s">
        <v>8</v>
      </c>
      <c r="L63" t="s">
        <v>9</v>
      </c>
      <c r="M63" t="s">
        <v>10</v>
      </c>
      <c r="N63" t="s">
        <v>11</v>
      </c>
      <c r="O63" t="s">
        <v>12</v>
      </c>
      <c r="P63" t="s">
        <v>13</v>
      </c>
    </row>
    <row r="64" spans="3:17" x14ac:dyDescent="0.25">
      <c r="D64" t="s">
        <v>0</v>
      </c>
      <c r="E64" s="7">
        <v>47.71</v>
      </c>
      <c r="F64" s="7">
        <v>40.299999999999997</v>
      </c>
      <c r="G64" s="7">
        <v>61.63</v>
      </c>
      <c r="H64" s="7">
        <v>49.88</v>
      </c>
      <c r="I64" s="7">
        <v>50.32</v>
      </c>
      <c r="J64" s="7">
        <v>35.07</v>
      </c>
      <c r="K64" s="7">
        <v>20.420000000000002</v>
      </c>
      <c r="L64" s="7">
        <v>18.21</v>
      </c>
      <c r="M64" s="7">
        <v>17.87</v>
      </c>
      <c r="N64" s="7">
        <v>55.6</v>
      </c>
      <c r="O64" s="7">
        <v>71.52</v>
      </c>
      <c r="P64" s="7">
        <v>58.7</v>
      </c>
    </row>
    <row r="65" spans="2:17" x14ac:dyDescent="0.25">
      <c r="D65" t="s">
        <v>1</v>
      </c>
      <c r="E65" s="7">
        <v>32.909999999999997</v>
      </c>
      <c r="F65" s="7">
        <v>31.39</v>
      </c>
      <c r="G65" s="7">
        <v>52.69</v>
      </c>
      <c r="H65" s="7">
        <v>36.729999999999997</v>
      </c>
      <c r="I65" s="7">
        <v>42.01</v>
      </c>
      <c r="J65" s="7">
        <v>35.840000000000003</v>
      </c>
      <c r="K65" s="7">
        <v>21.67</v>
      </c>
      <c r="L65" s="7">
        <v>16.34</v>
      </c>
      <c r="M65" s="7">
        <v>10.33</v>
      </c>
      <c r="N65" s="7">
        <v>36.92</v>
      </c>
      <c r="O65" s="7">
        <v>48.93</v>
      </c>
      <c r="P65" s="7">
        <v>44.18</v>
      </c>
    </row>
    <row r="67" spans="2:17" x14ac:dyDescent="0.25">
      <c r="D67" t="s">
        <v>51</v>
      </c>
    </row>
    <row r="68" spans="2:17" x14ac:dyDescent="0.25">
      <c r="D68" t="str">
        <f>+D24</f>
        <v>Customer 3</v>
      </c>
      <c r="Q68" s="1"/>
    </row>
    <row r="69" spans="2:17" x14ac:dyDescent="0.25">
      <c r="E69" t="s">
        <v>2</v>
      </c>
      <c r="F69" t="s">
        <v>3</v>
      </c>
      <c r="G69" t="s">
        <v>4</v>
      </c>
      <c r="H69" t="s">
        <v>5</v>
      </c>
      <c r="I69" t="s">
        <v>6</v>
      </c>
      <c r="J69" t="s">
        <v>7</v>
      </c>
      <c r="K69" t="s">
        <v>8</v>
      </c>
      <c r="L69" t="s">
        <v>9</v>
      </c>
      <c r="M69" t="s">
        <v>10</v>
      </c>
      <c r="N69" t="s">
        <v>11</v>
      </c>
      <c r="O69" t="s">
        <v>12</v>
      </c>
      <c r="P69" t="s">
        <v>13</v>
      </c>
      <c r="Q69" s="1"/>
    </row>
    <row r="70" spans="2:17" x14ac:dyDescent="0.25"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2:17" x14ac:dyDescent="0.25"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2:17" x14ac:dyDescent="0.25">
      <c r="B72" t="str">
        <f>+C72&amp;D72</f>
        <v>3HLH</v>
      </c>
      <c r="C72">
        <f>+VALUE(RIGHT(D68,1))</f>
        <v>3</v>
      </c>
      <c r="D72" s="4" t="s">
        <v>0</v>
      </c>
      <c r="E72" s="12">
        <f>(E28-VLOOKUP($C72,$C$13:$D$17,2,FALSE)*E$21)*E$64</f>
        <v>5151119.4165153857</v>
      </c>
      <c r="F72" s="12">
        <f t="shared" ref="F72:P72" si="36">(F28-VLOOKUP($C72,$C$13:$D$17,2,FALSE)*F$21)*F$64</f>
        <v>-1108499.4821874315</v>
      </c>
      <c r="G72" s="12">
        <f t="shared" si="36"/>
        <v>5263630.1237516897</v>
      </c>
      <c r="H72" s="12">
        <f t="shared" si="36"/>
        <v>2131775.7397824908</v>
      </c>
      <c r="I72" s="12">
        <f t="shared" si="36"/>
        <v>648820.55995843327</v>
      </c>
      <c r="J72" s="12">
        <f t="shared" si="36"/>
        <v>-928543.62751807808</v>
      </c>
      <c r="K72" s="12">
        <f t="shared" si="36"/>
        <v>1091799.4552926072</v>
      </c>
      <c r="L72" s="12">
        <f t="shared" si="36"/>
        <v>-3054792.5164916981</v>
      </c>
      <c r="M72" s="12">
        <f t="shared" si="36"/>
        <v>-3239146.6948873326</v>
      </c>
      <c r="N72" s="12">
        <f t="shared" si="36"/>
        <v>318499.87365828926</v>
      </c>
      <c r="O72" s="12">
        <f t="shared" si="36"/>
        <v>3448272.1948497454</v>
      </c>
      <c r="P72" s="12">
        <f t="shared" si="36"/>
        <v>1528340.8170324003</v>
      </c>
      <c r="Q72" s="13">
        <f>+SUM(E72:P73)</f>
        <v>19162288.328340895</v>
      </c>
    </row>
    <row r="73" spans="2:17" x14ac:dyDescent="0.25">
      <c r="B73" t="str">
        <f>+C73&amp;D73</f>
        <v>3LLH</v>
      </c>
      <c r="C73">
        <f>+C72</f>
        <v>3</v>
      </c>
      <c r="D73" s="4" t="s">
        <v>1</v>
      </c>
      <c r="E73" s="12">
        <f>(E29-VLOOKUP($C73,$C$13:$D$17,2,FALSE)*E$22)*E$65</f>
        <v>694229.8581009371</v>
      </c>
      <c r="F73" s="12">
        <f t="shared" ref="F73:P73" si="37">(F29-VLOOKUP($C73,$C$13:$D$17,2,FALSE)*F$22)*F$65</f>
        <v>-267146.17157229903</v>
      </c>
      <c r="G73" s="12">
        <f t="shared" si="37"/>
        <v>5104795.8761346675</v>
      </c>
      <c r="H73" s="12">
        <f t="shared" si="37"/>
        <v>3355700.4184742831</v>
      </c>
      <c r="I73" s="12">
        <f t="shared" si="37"/>
        <v>2235943.2353953337</v>
      </c>
      <c r="J73" s="12">
        <f t="shared" si="37"/>
        <v>-1038794.8975228984</v>
      </c>
      <c r="K73" s="12">
        <f t="shared" si="37"/>
        <v>133983.18117989006</v>
      </c>
      <c r="L73" s="12">
        <f t="shared" si="37"/>
        <v>-1844383.0086959291</v>
      </c>
      <c r="M73" s="12">
        <f t="shared" si="37"/>
        <v>-1157428.873846919</v>
      </c>
      <c r="N73" s="12">
        <f t="shared" si="37"/>
        <v>226825.43644665883</v>
      </c>
      <c r="O73" s="12">
        <f t="shared" si="37"/>
        <v>1140369.5508749878</v>
      </c>
      <c r="P73" s="12">
        <f t="shared" si="37"/>
        <v>-673082.13638431916</v>
      </c>
    </row>
    <row r="74" spans="2:17" x14ac:dyDescent="0.25">
      <c r="Q74" s="1"/>
    </row>
    <row r="75" spans="2:17" x14ac:dyDescent="0.25">
      <c r="D75" t="str">
        <f>+D31</f>
        <v>Customer 2</v>
      </c>
      <c r="Q75" s="1"/>
    </row>
    <row r="76" spans="2:17" x14ac:dyDescent="0.25">
      <c r="E76" t="s">
        <v>2</v>
      </c>
      <c r="F76" t="s">
        <v>3</v>
      </c>
      <c r="G76" t="s">
        <v>4</v>
      </c>
      <c r="H76" t="s">
        <v>5</v>
      </c>
      <c r="I76" t="s">
        <v>6</v>
      </c>
      <c r="J76" t="s">
        <v>7</v>
      </c>
      <c r="K76" t="s">
        <v>8</v>
      </c>
      <c r="L76" t="s">
        <v>9</v>
      </c>
      <c r="M76" t="s">
        <v>10</v>
      </c>
      <c r="N76" t="s">
        <v>11</v>
      </c>
      <c r="O76" t="s">
        <v>12</v>
      </c>
      <c r="P76" t="s">
        <v>13</v>
      </c>
      <c r="Q76" s="1"/>
    </row>
    <row r="77" spans="2:17" x14ac:dyDescent="0.25"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2:17" x14ac:dyDescent="0.25"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2:17" x14ac:dyDescent="0.25">
      <c r="B79" t="str">
        <f>+C79&amp;D79</f>
        <v>2HLH</v>
      </c>
      <c r="C79">
        <f>+VALUE(RIGHT(D75,1))</f>
        <v>2</v>
      </c>
      <c r="D79" s="4" t="s">
        <v>0</v>
      </c>
      <c r="E79" s="12">
        <f>(E35-VLOOKUP($C79,$C$13:$D$17,2,FALSE)*E$21)*E$64</f>
        <v>7527122.1410338487</v>
      </c>
      <c r="F79" s="12">
        <f t="shared" ref="F79:P79" si="38">(F35-VLOOKUP($C79,$C$13:$D$17,2,FALSE)*F$21)*F$64</f>
        <v>328653.40732234059</v>
      </c>
      <c r="G79" s="12">
        <f t="shared" si="38"/>
        <v>5623862.8954164088</v>
      </c>
      <c r="H79" s="12">
        <f t="shared" si="38"/>
        <v>4393969.0995602189</v>
      </c>
      <c r="I79" s="12">
        <f t="shared" si="38"/>
        <v>2813147.233874219</v>
      </c>
      <c r="J79" s="12">
        <f t="shared" si="38"/>
        <v>272824.21703025233</v>
      </c>
      <c r="K79" s="12">
        <f t="shared" si="38"/>
        <v>2162613.6965360562</v>
      </c>
      <c r="L79" s="12">
        <f t="shared" si="38"/>
        <v>-3110040.7319518439</v>
      </c>
      <c r="M79" s="12">
        <f t="shared" si="38"/>
        <v>-4452849.6349045644</v>
      </c>
      <c r="N79" s="12">
        <f t="shared" si="38"/>
        <v>-3257281.9454242224</v>
      </c>
      <c r="O79" s="12">
        <f t="shared" si="38"/>
        <v>-2837987.7312528747</v>
      </c>
      <c r="P79" s="12">
        <f t="shared" si="38"/>
        <v>-99364.631421823346</v>
      </c>
      <c r="Q79" s="13">
        <f>+SUM(E79:P80)</f>
        <v>17073936.234327599</v>
      </c>
    </row>
    <row r="80" spans="2:17" x14ac:dyDescent="0.25">
      <c r="B80" t="str">
        <f>+C80&amp;D80</f>
        <v>2LLH</v>
      </c>
      <c r="C80">
        <f>+C79</f>
        <v>2</v>
      </c>
      <c r="D80" s="4" t="s">
        <v>1</v>
      </c>
      <c r="E80" s="12">
        <f>(E36-VLOOKUP($C80,$C$13:$D$17,2,FALSE)*E$22)*E$65</f>
        <v>868110.55145633209</v>
      </c>
      <c r="F80" s="12">
        <f t="shared" ref="F80:P80" si="39">(F36-VLOOKUP($C80,$C$13:$D$17,2,FALSE)*F$22)*F$65</f>
        <v>323459.6947374345</v>
      </c>
      <c r="G80" s="12">
        <f t="shared" si="39"/>
        <v>6336317.0129617909</v>
      </c>
      <c r="H80" s="12">
        <f t="shared" si="39"/>
        <v>3455260.7845486463</v>
      </c>
      <c r="I80" s="12">
        <f t="shared" si="39"/>
        <v>3402500.1635764865</v>
      </c>
      <c r="J80" s="12">
        <f t="shared" si="39"/>
        <v>398315.76327564602</v>
      </c>
      <c r="K80" s="12">
        <f t="shared" si="39"/>
        <v>529888.08306513738</v>
      </c>
      <c r="L80" s="12">
        <f t="shared" si="39"/>
        <v>-2182328.8196995752</v>
      </c>
      <c r="M80" s="12">
        <f t="shared" si="39"/>
        <v>-1357248.6595630036</v>
      </c>
      <c r="N80" s="12">
        <f t="shared" si="39"/>
        <v>-1494491.7379978853</v>
      </c>
      <c r="O80" s="12">
        <f t="shared" si="39"/>
        <v>-503531.80876190111</v>
      </c>
      <c r="P80" s="12">
        <f t="shared" si="39"/>
        <v>-2066982.8090895312</v>
      </c>
    </row>
    <row r="81" spans="2:17" x14ac:dyDescent="0.25">
      <c r="Q81" s="1"/>
    </row>
    <row r="82" spans="2:17" x14ac:dyDescent="0.25">
      <c r="D82" t="str">
        <f>+D38</f>
        <v>Customer 5</v>
      </c>
      <c r="Q82" s="1"/>
    </row>
    <row r="83" spans="2:17" x14ac:dyDescent="0.25">
      <c r="E83" t="s">
        <v>2</v>
      </c>
      <c r="F83" t="s">
        <v>3</v>
      </c>
      <c r="G83" t="s">
        <v>4</v>
      </c>
      <c r="H83" t="s">
        <v>5</v>
      </c>
      <c r="I83" t="s">
        <v>6</v>
      </c>
      <c r="J83" t="s">
        <v>7</v>
      </c>
      <c r="K83" t="s">
        <v>8</v>
      </c>
      <c r="L83" t="s">
        <v>9</v>
      </c>
      <c r="M83" t="s">
        <v>10</v>
      </c>
      <c r="N83" t="s">
        <v>11</v>
      </c>
      <c r="O83" t="s">
        <v>12</v>
      </c>
      <c r="P83" t="s">
        <v>13</v>
      </c>
      <c r="Q83" s="1"/>
    </row>
    <row r="84" spans="2:17" x14ac:dyDescent="0.25"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2:17" x14ac:dyDescent="0.25"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2:17" x14ac:dyDescent="0.25">
      <c r="B86" t="str">
        <f>+C86&amp;D86</f>
        <v>5HLH</v>
      </c>
      <c r="C86">
        <f>+VALUE(RIGHT(D82,1))</f>
        <v>5</v>
      </c>
      <c r="D86" s="4" t="s">
        <v>0</v>
      </c>
      <c r="E86" s="12">
        <f>(E42-VLOOKUP($C86,$C$13:$D$17,2,FALSE)*E$21)*E$64</f>
        <v>1222488.756332424</v>
      </c>
      <c r="F86" s="12">
        <f t="shared" ref="F86:P86" si="40">(F42-VLOOKUP($C86,$C$13:$D$17,2,FALSE)*F$21)*F$64</f>
        <v>-978312.44923607097</v>
      </c>
      <c r="G86" s="12">
        <f t="shared" si="40"/>
        <v>-2396290.3776210179</v>
      </c>
      <c r="H86" s="12">
        <f t="shared" si="40"/>
        <v>-2214181.2006311473</v>
      </c>
      <c r="I86" s="12">
        <f t="shared" si="40"/>
        <v>-1664092.2483415816</v>
      </c>
      <c r="J86" s="12">
        <f t="shared" si="40"/>
        <v>-917635.20398952963</v>
      </c>
      <c r="K86" s="12">
        <f t="shared" si="40"/>
        <v>212757.31577961938</v>
      </c>
      <c r="L86" s="12">
        <f t="shared" si="40"/>
        <v>-470725.6324742196</v>
      </c>
      <c r="M86" s="12">
        <f t="shared" si="40"/>
        <v>-668716.74124996003</v>
      </c>
      <c r="N86" s="12">
        <f t="shared" si="40"/>
        <v>44928.458319974648</v>
      </c>
      <c r="O86" s="12">
        <f t="shared" si="40"/>
        <v>685553.03707426996</v>
      </c>
      <c r="P86" s="12">
        <f t="shared" si="40"/>
        <v>800548.28145145567</v>
      </c>
      <c r="Q86" s="13">
        <f>+SUM(E86:P87)</f>
        <v>-68456.757897956995</v>
      </c>
    </row>
    <row r="87" spans="2:17" x14ac:dyDescent="0.25">
      <c r="B87" t="str">
        <f>+C87&amp;D87</f>
        <v>5LLH</v>
      </c>
      <c r="C87">
        <f>+C86</f>
        <v>5</v>
      </c>
      <c r="D87" s="4" t="s">
        <v>1</v>
      </c>
      <c r="E87" s="12">
        <f>(E43-VLOOKUP($C87,$C$13:$D$17,2,FALSE)*E$22)*E$65</f>
        <v>906790.635041564</v>
      </c>
      <c r="F87" s="12">
        <f t="shared" ref="F87:P87" si="41">(F43-VLOOKUP($C87,$C$13:$D$17,2,FALSE)*F$22)*F$65</f>
        <v>212623.72403242582</v>
      </c>
      <c r="G87" s="12">
        <f t="shared" si="41"/>
        <v>99162.115907288215</v>
      </c>
      <c r="H87" s="12">
        <f t="shared" si="41"/>
        <v>-1788.501804810822</v>
      </c>
      <c r="I87" s="12">
        <f t="shared" si="41"/>
        <v>238362.32943007987</v>
      </c>
      <c r="J87" s="12">
        <f t="shared" si="41"/>
        <v>63213.603996161524</v>
      </c>
      <c r="K87" s="12">
        <f t="shared" si="41"/>
        <v>435220.93142803299</v>
      </c>
      <c r="L87" s="12">
        <f t="shared" si="41"/>
        <v>99198.134354559996</v>
      </c>
      <c r="M87" s="12">
        <f t="shared" si="41"/>
        <v>48911.459784857616</v>
      </c>
      <c r="N87" s="12">
        <f t="shared" si="41"/>
        <v>1122756.9007237477</v>
      </c>
      <c r="O87" s="12">
        <f t="shared" si="41"/>
        <v>1807138.1023711627</v>
      </c>
      <c r="P87" s="12">
        <f t="shared" si="41"/>
        <v>1243631.8114227562</v>
      </c>
    </row>
    <row r="88" spans="2:17" x14ac:dyDescent="0.25">
      <c r="Q88" s="1"/>
    </row>
    <row r="89" spans="2:17" x14ac:dyDescent="0.25">
      <c r="D89" t="str">
        <f>+D45</f>
        <v>Customer 1</v>
      </c>
      <c r="Q89" s="1"/>
    </row>
    <row r="90" spans="2:17" x14ac:dyDescent="0.25">
      <c r="E90" t="s">
        <v>2</v>
      </c>
      <c r="F90" t="s">
        <v>3</v>
      </c>
      <c r="G90" t="s">
        <v>4</v>
      </c>
      <c r="H90" t="s">
        <v>5</v>
      </c>
      <c r="I90" t="s">
        <v>6</v>
      </c>
      <c r="J90" t="s">
        <v>7</v>
      </c>
      <c r="K90" t="s">
        <v>8</v>
      </c>
      <c r="L90" t="s">
        <v>9</v>
      </c>
      <c r="M90" t="s">
        <v>10</v>
      </c>
      <c r="N90" t="s">
        <v>11</v>
      </c>
      <c r="O90" t="s">
        <v>12</v>
      </c>
      <c r="P90" t="s">
        <v>13</v>
      </c>
      <c r="Q90" s="1"/>
    </row>
    <row r="91" spans="2:17" x14ac:dyDescent="0.25"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2:17" x14ac:dyDescent="0.25"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2:17" x14ac:dyDescent="0.25">
      <c r="B93" t="str">
        <f>+C93&amp;D93</f>
        <v>1HLH</v>
      </c>
      <c r="C93">
        <f>+VALUE(RIGHT(D89,1))</f>
        <v>1</v>
      </c>
      <c r="D93" s="4" t="s">
        <v>0</v>
      </c>
      <c r="E93" s="12">
        <f>(E49-VLOOKUP($C93,$C$13:$D$17,2,FALSE)*E$21)*E$64</f>
        <v>-1046505.2216123077</v>
      </c>
      <c r="F93" s="12">
        <f t="shared" ref="F93:P93" si="42">(F49-VLOOKUP($C93,$C$13:$D$17,2,FALSE)*F$21)*F$64</f>
        <v>-9638660.8071562089</v>
      </c>
      <c r="G93" s="12">
        <f t="shared" si="42"/>
        <v>-1587162.9925404678</v>
      </c>
      <c r="H93" s="12">
        <f t="shared" si="42"/>
        <v>-7851554.6884040842</v>
      </c>
      <c r="I93" s="12">
        <f t="shared" si="42"/>
        <v>-9947917.5857605878</v>
      </c>
      <c r="J93" s="12">
        <f t="shared" si="42"/>
        <v>-6938218.6961407559</v>
      </c>
      <c r="K93" s="12">
        <f t="shared" si="42"/>
        <v>649942.29100302979</v>
      </c>
      <c r="L93" s="12">
        <f t="shared" si="42"/>
        <v>-1368292.0728900975</v>
      </c>
      <c r="M93" s="12">
        <f t="shared" si="42"/>
        <v>-1796538.2429242209</v>
      </c>
      <c r="N93" s="12">
        <f t="shared" si="42"/>
        <v>11412388.123607744</v>
      </c>
      <c r="O93" s="12">
        <f t="shared" si="42"/>
        <v>15151969.515132722</v>
      </c>
      <c r="P93" s="12">
        <f t="shared" si="42"/>
        <v>1934804.6076160097</v>
      </c>
      <c r="Q93" s="13">
        <f>+SUM(E93:P94)</f>
        <v>11361609.171800986</v>
      </c>
    </row>
    <row r="94" spans="2:17" x14ac:dyDescent="0.25">
      <c r="B94" t="str">
        <f>+C94&amp;D94</f>
        <v>1LLH</v>
      </c>
      <c r="C94">
        <f>+C93</f>
        <v>1</v>
      </c>
      <c r="D94" s="4" t="s">
        <v>1</v>
      </c>
      <c r="E94" s="12">
        <f>(E50-VLOOKUP($C94,$C$13:$D$17,2,FALSE)*E$22)*E$65</f>
        <v>-405707.53872540273</v>
      </c>
      <c r="F94" s="12">
        <f t="shared" ref="F94:P94" si="43">(F50-VLOOKUP($C94,$C$13:$D$17,2,FALSE)*F$22)*F$65</f>
        <v>-2306864.6430289797</v>
      </c>
      <c r="G94" s="12">
        <f t="shared" si="43"/>
        <v>2823732.5922145499</v>
      </c>
      <c r="H94" s="12">
        <f t="shared" si="43"/>
        <v>2124591.5786226038</v>
      </c>
      <c r="I94" s="12">
        <f t="shared" si="43"/>
        <v>-579777.08071723825</v>
      </c>
      <c r="J94" s="12">
        <f t="shared" si="43"/>
        <v>-3266970.3503267057</v>
      </c>
      <c r="K94" s="12">
        <f t="shared" si="43"/>
        <v>893711.72161240072</v>
      </c>
      <c r="L94" s="12">
        <f t="shared" si="43"/>
        <v>667971.07968322304</v>
      </c>
      <c r="M94" s="12">
        <f t="shared" si="43"/>
        <v>86100.531718899481</v>
      </c>
      <c r="N94" s="12">
        <f t="shared" si="43"/>
        <v>9007297.7395471074</v>
      </c>
      <c r="O94" s="12">
        <f t="shared" si="43"/>
        <v>10711330.408707766</v>
      </c>
      <c r="P94" s="12">
        <f t="shared" si="43"/>
        <v>2631938.9025619854</v>
      </c>
    </row>
    <row r="95" spans="2:17" x14ac:dyDescent="0.25">
      <c r="Q95" s="1"/>
    </row>
    <row r="96" spans="2:17" x14ac:dyDescent="0.25">
      <c r="D96" t="str">
        <f>+D52</f>
        <v>Customer 4</v>
      </c>
      <c r="Q96" s="1"/>
    </row>
    <row r="97" spans="2:17" x14ac:dyDescent="0.25">
      <c r="E97" t="s">
        <v>2</v>
      </c>
      <c r="F97" t="s">
        <v>3</v>
      </c>
      <c r="G97" t="s">
        <v>4</v>
      </c>
      <c r="H97" t="s">
        <v>5</v>
      </c>
      <c r="I97" t="s">
        <v>6</v>
      </c>
      <c r="J97" t="s">
        <v>7</v>
      </c>
      <c r="K97" t="s">
        <v>8</v>
      </c>
      <c r="L97" t="s">
        <v>9</v>
      </c>
      <c r="M97" t="s">
        <v>10</v>
      </c>
      <c r="N97" t="s">
        <v>11</v>
      </c>
      <c r="O97" t="s">
        <v>12</v>
      </c>
      <c r="P97" t="s">
        <v>13</v>
      </c>
      <c r="Q97" s="1"/>
    </row>
    <row r="98" spans="2:17" x14ac:dyDescent="0.25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2:17" x14ac:dyDescent="0.25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2:17" x14ac:dyDescent="0.25">
      <c r="B100" t="str">
        <f>+C100&amp;D100</f>
        <v>4HLH</v>
      </c>
      <c r="C100">
        <f>+VALUE(RIGHT(D96,1))</f>
        <v>4</v>
      </c>
      <c r="D100" s="4" t="s">
        <v>0</v>
      </c>
      <c r="E100" s="12">
        <f>(E56-VLOOKUP($C100,$C$13:$D$17,2,FALSE)*E$21)*E$64</f>
        <v>1386477.8809600258</v>
      </c>
      <c r="F100" s="12">
        <f t="shared" ref="F100:P100" si="44">(F56-VLOOKUP($C100,$C$13:$D$17,2,FALSE)*F$21)*F$64</f>
        <v>-2929661.6197628374</v>
      </c>
      <c r="G100" s="12">
        <f t="shared" si="44"/>
        <v>-2200598.5455978671</v>
      </c>
      <c r="H100" s="12">
        <f t="shared" si="44"/>
        <v>-2645530.6058618571</v>
      </c>
      <c r="I100" s="12">
        <f t="shared" si="44"/>
        <v>-2671203.499802507</v>
      </c>
      <c r="J100" s="12">
        <f t="shared" si="44"/>
        <v>-3101404.5692964951</v>
      </c>
      <c r="K100" s="12">
        <f t="shared" si="44"/>
        <v>223891.41981962117</v>
      </c>
      <c r="L100" s="12">
        <f t="shared" si="44"/>
        <v>-673820.39284980041</v>
      </c>
      <c r="M100" s="12">
        <f t="shared" si="44"/>
        <v>-201354.43013958167</v>
      </c>
      <c r="N100" s="12">
        <f t="shared" si="44"/>
        <v>5941356.9473669631</v>
      </c>
      <c r="O100" s="12">
        <f t="shared" si="44"/>
        <v>7720481.8465043008</v>
      </c>
      <c r="P100" s="12">
        <f t="shared" si="44"/>
        <v>1732280.6016703215</v>
      </c>
      <c r="Q100" s="13">
        <f>+SUM(E100:P101)</f>
        <v>6709156.3615827709</v>
      </c>
    </row>
    <row r="101" spans="2:17" x14ac:dyDescent="0.25">
      <c r="B101" t="str">
        <f>+C101&amp;D101</f>
        <v>4LLH</v>
      </c>
      <c r="C101">
        <f>+C100</f>
        <v>4</v>
      </c>
      <c r="D101" s="4" t="s">
        <v>1</v>
      </c>
      <c r="E101" s="12">
        <f>(E57-VLOOKUP($C101,$C$13:$D$17,2,FALSE)*E$22)*E$65</f>
        <v>-130113.81273589868</v>
      </c>
      <c r="F101" s="12">
        <f t="shared" ref="F101:P101" si="45">(F57-VLOOKUP($C101,$C$13:$D$17,2,FALSE)*F$22)*F$65</f>
        <v>-1263263.6444772454</v>
      </c>
      <c r="G101" s="12">
        <f t="shared" si="45"/>
        <v>485503.88377185492</v>
      </c>
      <c r="H101" s="12">
        <f t="shared" si="45"/>
        <v>-330344.86172733776</v>
      </c>
      <c r="I101" s="12">
        <f t="shared" si="45"/>
        <v>-271691.90743384598</v>
      </c>
      <c r="J101" s="12">
        <f t="shared" si="45"/>
        <v>-1774257.5319879467</v>
      </c>
      <c r="K101" s="12">
        <f t="shared" si="45"/>
        <v>-101185.27406052015</v>
      </c>
      <c r="L101" s="12">
        <f t="shared" si="45"/>
        <v>-354044.87347423704</v>
      </c>
      <c r="M101" s="12">
        <f t="shared" si="45"/>
        <v>141800.5027698249</v>
      </c>
      <c r="N101" s="12">
        <f t="shared" si="45"/>
        <v>3077091.8639702615</v>
      </c>
      <c r="O101" s="12">
        <f t="shared" si="45"/>
        <v>4151076.864730088</v>
      </c>
      <c r="P101" s="12">
        <f t="shared" si="45"/>
        <v>497670.11922748829</v>
      </c>
    </row>
  </sheetData>
  <mergeCells count="6">
    <mergeCell ref="C11:D11"/>
    <mergeCell ref="G4:K4"/>
    <mergeCell ref="G3:K3"/>
    <mergeCell ref="AH2:AL2"/>
    <mergeCell ref="C9:P9"/>
    <mergeCell ref="S9:AF9"/>
  </mergeCells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ACF00-515D-42BD-9E13-9D8E60DD0F73}">
  <dimension ref="A2:O23"/>
  <sheetViews>
    <sheetView workbookViewId="0">
      <selection activeCell="C6" sqref="C6"/>
    </sheetView>
  </sheetViews>
  <sheetFormatPr defaultRowHeight="15" x14ac:dyDescent="0.25"/>
  <cols>
    <col min="2" max="2" width="56.140625" customWidth="1"/>
    <col min="3" max="14" width="12.7109375" customWidth="1"/>
    <col min="15" max="15" width="13.7109375" bestFit="1" customWidth="1"/>
    <col min="16" max="16" width="15.7109375" bestFit="1" customWidth="1"/>
  </cols>
  <sheetData>
    <row r="2" spans="1:15" ht="18.75" x14ac:dyDescent="0.3">
      <c r="A2" s="22"/>
      <c r="B2" s="23" t="s">
        <v>72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1:15" x14ac:dyDescent="0.25">
      <c r="A4" s="22"/>
      <c r="B4" s="22"/>
      <c r="C4" s="36" t="s">
        <v>2</v>
      </c>
      <c r="D4" s="36" t="s">
        <v>3</v>
      </c>
      <c r="E4" s="36" t="s">
        <v>4</v>
      </c>
      <c r="F4" s="36" t="s">
        <v>5</v>
      </c>
      <c r="G4" s="36" t="s">
        <v>6</v>
      </c>
      <c r="H4" s="36" t="s">
        <v>7</v>
      </c>
      <c r="I4" s="36" t="s">
        <v>8</v>
      </c>
      <c r="J4" s="36" t="s">
        <v>9</v>
      </c>
      <c r="K4" s="36" t="s">
        <v>10</v>
      </c>
      <c r="L4" s="36" t="s">
        <v>11</v>
      </c>
      <c r="M4" s="36" t="s">
        <v>12</v>
      </c>
      <c r="N4" s="36" t="s">
        <v>13</v>
      </c>
      <c r="O4" s="36" t="s">
        <v>50</v>
      </c>
    </row>
    <row r="5" spans="1:15" x14ac:dyDescent="0.25">
      <c r="A5" s="22"/>
      <c r="B5" s="24" t="s">
        <v>73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 spans="1:15" x14ac:dyDescent="0.25">
      <c r="A6" s="25" t="s">
        <v>60</v>
      </c>
      <c r="B6" s="22" t="s">
        <v>68</v>
      </c>
      <c r="C6" s="29">
        <f>ScalarApproach!$D$13*ScalarApproach!$E$6/12</f>
        <v>54791586.016461484</v>
      </c>
      <c r="D6" s="29">
        <f>ScalarApproach!$D$13*ScalarApproach!$E$6/12</f>
        <v>54791586.016461484</v>
      </c>
      <c r="E6" s="29">
        <f>ScalarApproach!$D$13*ScalarApproach!$E$6/12</f>
        <v>54791586.016461484</v>
      </c>
      <c r="F6" s="29">
        <f>ScalarApproach!$D$13*ScalarApproach!$E$6/12</f>
        <v>54791586.016461484</v>
      </c>
      <c r="G6" s="29">
        <f>ScalarApproach!$D$13*ScalarApproach!$E$6/12</f>
        <v>54791586.016461484</v>
      </c>
      <c r="H6" s="29">
        <f>ScalarApproach!$D$13*ScalarApproach!$E$6/12</f>
        <v>54791586.016461484</v>
      </c>
      <c r="I6" s="29">
        <f>ScalarApproach!$D$13*ScalarApproach!$E$6/12</f>
        <v>54791586.016461484</v>
      </c>
      <c r="J6" s="29">
        <f>ScalarApproach!$D$13*ScalarApproach!$E$6/12</f>
        <v>54791586.016461484</v>
      </c>
      <c r="K6" s="29">
        <f>ScalarApproach!$D$13*ScalarApproach!$E$6/12</f>
        <v>54791586.016461484</v>
      </c>
      <c r="L6" s="29">
        <f>ScalarApproach!$D$13*ScalarApproach!$E$6/12</f>
        <v>54791586.016461484</v>
      </c>
      <c r="M6" s="29">
        <f>ScalarApproach!$D$13*ScalarApproach!$E$6/12</f>
        <v>54791586.016461484</v>
      </c>
      <c r="N6" s="29">
        <f>ScalarApproach!$D$13*ScalarApproach!$E$6/12</f>
        <v>54791586.016461484</v>
      </c>
      <c r="O6" s="30"/>
    </row>
    <row r="7" spans="1:15" x14ac:dyDescent="0.25">
      <c r="A7" s="26"/>
      <c r="B7" s="22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1"/>
    </row>
    <row r="8" spans="1:15" x14ac:dyDescent="0.25">
      <c r="A8" s="25" t="s">
        <v>61</v>
      </c>
      <c r="B8" s="22" t="s">
        <v>71</v>
      </c>
      <c r="C8" s="30">
        <f>+ScalarApproach!E93</f>
        <v>-1046505.2216123077</v>
      </c>
      <c r="D8" s="30">
        <f>+ScalarApproach!F93</f>
        <v>-9638660.8071562089</v>
      </c>
      <c r="E8" s="30">
        <f>+ScalarApproach!G93</f>
        <v>-1587162.9925404678</v>
      </c>
      <c r="F8" s="30">
        <f>+ScalarApproach!H93</f>
        <v>-7851554.6884040842</v>
      </c>
      <c r="G8" s="30">
        <f>+ScalarApproach!I93</f>
        <v>-9947917.5857605878</v>
      </c>
      <c r="H8" s="30">
        <f>+ScalarApproach!J93</f>
        <v>-6938218.6961407559</v>
      </c>
      <c r="I8" s="30">
        <f>+ScalarApproach!K93</f>
        <v>649942.29100302979</v>
      </c>
      <c r="J8" s="30">
        <f>+ScalarApproach!L93</f>
        <v>-1368292.0728900975</v>
      </c>
      <c r="K8" s="30">
        <f>+ScalarApproach!M93</f>
        <v>-1796538.2429242209</v>
      </c>
      <c r="L8" s="30">
        <f>+ScalarApproach!N93</f>
        <v>11412388.123607744</v>
      </c>
      <c r="M8" s="30">
        <f>+ScalarApproach!O93</f>
        <v>15151969.515132722</v>
      </c>
      <c r="N8" s="30">
        <f>+ScalarApproach!P93</f>
        <v>1934804.6076160097</v>
      </c>
      <c r="O8" s="30"/>
    </row>
    <row r="9" spans="1:15" x14ac:dyDescent="0.25">
      <c r="A9" s="25" t="s">
        <v>62</v>
      </c>
      <c r="B9" s="22" t="s">
        <v>54</v>
      </c>
      <c r="C9" s="29">
        <f>+ScalarApproach!E94</f>
        <v>-405707.53872540273</v>
      </c>
      <c r="D9" s="29">
        <f>+ScalarApproach!F94</f>
        <v>-2306864.6430289797</v>
      </c>
      <c r="E9" s="29">
        <f>+ScalarApproach!G94</f>
        <v>2823732.5922145499</v>
      </c>
      <c r="F9" s="29">
        <f>+ScalarApproach!H94</f>
        <v>2124591.5786226038</v>
      </c>
      <c r="G9" s="29">
        <f>+ScalarApproach!I94</f>
        <v>-579777.08071723825</v>
      </c>
      <c r="H9" s="29">
        <f>+ScalarApproach!J94</f>
        <v>-3266970.3503267057</v>
      </c>
      <c r="I9" s="29">
        <f>+ScalarApproach!K94</f>
        <v>893711.72161240072</v>
      </c>
      <c r="J9" s="29">
        <f>+ScalarApproach!L94</f>
        <v>667971.07968322304</v>
      </c>
      <c r="K9" s="29">
        <f>+ScalarApproach!M94</f>
        <v>86100.531718899481</v>
      </c>
      <c r="L9" s="29">
        <f>+ScalarApproach!N94</f>
        <v>9007297.7395471074</v>
      </c>
      <c r="M9" s="29">
        <f>+ScalarApproach!O94</f>
        <v>10711330.408707766</v>
      </c>
      <c r="N9" s="29">
        <f>+ScalarApproach!P94</f>
        <v>2631938.9025619854</v>
      </c>
      <c r="O9" s="31"/>
    </row>
    <row r="10" spans="1:15" x14ac:dyDescent="0.25">
      <c r="A10" s="25" t="s">
        <v>63</v>
      </c>
      <c r="B10" s="22" t="s">
        <v>70</v>
      </c>
      <c r="C10" s="30">
        <f>+SUM(C8:C9)</f>
        <v>-1452212.7603377104</v>
      </c>
      <c r="D10" s="30">
        <f t="shared" ref="D10:N10" si="0">+SUM(D8:D9)</f>
        <v>-11945525.450185189</v>
      </c>
      <c r="E10" s="30">
        <f t="shared" si="0"/>
        <v>1236569.5996740821</v>
      </c>
      <c r="F10" s="30">
        <f t="shared" si="0"/>
        <v>-5726963.1097814804</v>
      </c>
      <c r="G10" s="30">
        <f t="shared" si="0"/>
        <v>-10527694.666477825</v>
      </c>
      <c r="H10" s="30">
        <f t="shared" si="0"/>
        <v>-10205189.046467461</v>
      </c>
      <c r="I10" s="30">
        <f t="shared" si="0"/>
        <v>1543654.0126154306</v>
      </c>
      <c r="J10" s="30">
        <f t="shared" si="0"/>
        <v>-700320.99320687447</v>
      </c>
      <c r="K10" s="30">
        <f t="shared" si="0"/>
        <v>-1710437.7112053214</v>
      </c>
      <c r="L10" s="30">
        <f t="shared" si="0"/>
        <v>20419685.863154851</v>
      </c>
      <c r="M10" s="30">
        <f t="shared" si="0"/>
        <v>25863299.923840486</v>
      </c>
      <c r="N10" s="30">
        <f t="shared" si="0"/>
        <v>4566743.5101779951</v>
      </c>
      <c r="O10" s="31"/>
    </row>
    <row r="11" spans="1:15" x14ac:dyDescent="0.25">
      <c r="A11" s="26"/>
      <c r="B11" s="22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1"/>
    </row>
    <row r="12" spans="1:15" x14ac:dyDescent="0.25">
      <c r="A12" s="25" t="s">
        <v>64</v>
      </c>
      <c r="B12" s="22" t="s">
        <v>69</v>
      </c>
      <c r="C12" s="32">
        <f>+SUM(C10,C6)</f>
        <v>53339373.256123774</v>
      </c>
      <c r="D12" s="33">
        <f t="shared" ref="D12:N12" si="1">+SUM(D10,D6)</f>
        <v>42846060.566276297</v>
      </c>
      <c r="E12" s="33">
        <f t="shared" si="1"/>
        <v>56028155.616135567</v>
      </c>
      <c r="F12" s="33">
        <f t="shared" si="1"/>
        <v>49064622.906680003</v>
      </c>
      <c r="G12" s="33">
        <f t="shared" si="1"/>
        <v>44263891.349983662</v>
      </c>
      <c r="H12" s="33">
        <f t="shared" si="1"/>
        <v>44586396.969994023</v>
      </c>
      <c r="I12" s="33">
        <f t="shared" si="1"/>
        <v>56335240.029076912</v>
      </c>
      <c r="J12" s="33">
        <f t="shared" si="1"/>
        <v>54091265.023254611</v>
      </c>
      <c r="K12" s="33">
        <f t="shared" si="1"/>
        <v>53081148.305256166</v>
      </c>
      <c r="L12" s="33">
        <f t="shared" si="1"/>
        <v>75211271.879616335</v>
      </c>
      <c r="M12" s="33">
        <f t="shared" si="1"/>
        <v>80654885.94030197</v>
      </c>
      <c r="N12" s="33">
        <f t="shared" si="1"/>
        <v>59358329.526639476</v>
      </c>
      <c r="O12" s="27">
        <f>+SUM(C12:N12)</f>
        <v>668860641.36933887</v>
      </c>
    </row>
    <row r="13" spans="1:15" x14ac:dyDescent="0.25">
      <c r="A13" s="26"/>
      <c r="B13" s="22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1"/>
    </row>
    <row r="14" spans="1:15" x14ac:dyDescent="0.25">
      <c r="A14" s="26"/>
      <c r="B14" s="24" t="s">
        <v>74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1"/>
    </row>
    <row r="15" spans="1:15" x14ac:dyDescent="0.25">
      <c r="A15" s="25" t="s">
        <v>65</v>
      </c>
      <c r="B15" s="22" t="s">
        <v>55</v>
      </c>
      <c r="C15" s="30">
        <f>+ScalarApproach!T35</f>
        <v>32314898.951988302</v>
      </c>
      <c r="D15" s="30">
        <f>+ScalarApproach!U35</f>
        <v>26737899.668980058</v>
      </c>
      <c r="E15" s="30">
        <f>+ScalarApproach!V35</f>
        <v>59618630.506392583</v>
      </c>
      <c r="F15" s="30">
        <f>+ScalarApproach!W35</f>
        <v>44216913.221388102</v>
      </c>
      <c r="G15" s="30">
        <f>+ScalarApproach!X35</f>
        <v>36837616.491765797</v>
      </c>
      <c r="H15" s="30">
        <f>+ScalarApproach!Y35</f>
        <v>25584229.110607047</v>
      </c>
      <c r="I15" s="30">
        <f>+ScalarApproach!Z35</f>
        <v>12842733.876836782</v>
      </c>
      <c r="J15" s="30">
        <f>+ScalarApproach!AA35</f>
        <v>12081133.219895154</v>
      </c>
      <c r="K15" s="30">
        <f>+ScalarApproach!AB35</f>
        <v>12150204.0766386</v>
      </c>
      <c r="L15" s="30">
        <f>+ScalarApproach!AC35</f>
        <v>57675501.352032237</v>
      </c>
      <c r="M15" s="30">
        <f>+ScalarApproach!AD35</f>
        <v>75544366.985793933</v>
      </c>
      <c r="N15" s="30">
        <f>+ScalarApproach!AE35</f>
        <v>44716797.788635887</v>
      </c>
      <c r="O15" s="31"/>
    </row>
    <row r="16" spans="1:15" x14ac:dyDescent="0.25">
      <c r="A16" s="25" t="s">
        <v>66</v>
      </c>
      <c r="B16" s="22" t="s">
        <v>56</v>
      </c>
      <c r="C16" s="29">
        <f>+ScalarApproach!T36</f>
        <v>13704316.421987176</v>
      </c>
      <c r="D16" s="29">
        <f>+ScalarApproach!U36</f>
        <v>14945066.398287419</v>
      </c>
      <c r="E16" s="29">
        <f>+ScalarApproach!V36</f>
        <v>35814423.204987869</v>
      </c>
      <c r="F16" s="29">
        <f>+ScalarApproach!W36</f>
        <v>23877787.481822368</v>
      </c>
      <c r="G16" s="29">
        <f>+ScalarApproach!X36</f>
        <v>20762647.761414476</v>
      </c>
      <c r="H16" s="29">
        <f>+ScalarApproach!Y36</f>
        <v>17949468.599131599</v>
      </c>
      <c r="I16" s="29">
        <f>+ScalarApproach!Z36</f>
        <v>9291628.8230584674</v>
      </c>
      <c r="J16" s="29">
        <f>+ScalarApproach!AA36</f>
        <v>7570908.9270758638</v>
      </c>
      <c r="K16" s="29">
        <f>+ScalarApproach!AB36</f>
        <v>3018274.59054056</v>
      </c>
      <c r="L16" s="29">
        <f>+ScalarApproach!AC36</f>
        <v>25532465.100681376</v>
      </c>
      <c r="M16" s="29">
        <f>+ScalarApproach!AD36</f>
        <v>32757775.885052711</v>
      </c>
      <c r="N16" s="29">
        <f>+ScalarApproach!AE36</f>
        <v>23314952.924344424</v>
      </c>
      <c r="O16" s="31"/>
    </row>
    <row r="17" spans="1:15" x14ac:dyDescent="0.25">
      <c r="A17" s="26"/>
      <c r="B17" s="2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</row>
    <row r="18" spans="1:15" x14ac:dyDescent="0.25">
      <c r="A18" s="25" t="s">
        <v>67</v>
      </c>
      <c r="B18" s="22" t="s">
        <v>57</v>
      </c>
      <c r="C18" s="34">
        <f>+SUM(C15:C16)</f>
        <v>46019215.373975478</v>
      </c>
      <c r="D18" s="35">
        <f t="shared" ref="D18:N18" si="2">+SUM(D15:D16)</f>
        <v>41682966.067267478</v>
      </c>
      <c r="E18" s="35">
        <f t="shared" si="2"/>
        <v>95433053.711380452</v>
      </c>
      <c r="F18" s="35">
        <f t="shared" si="2"/>
        <v>68094700.703210473</v>
      </c>
      <c r="G18" s="35">
        <f t="shared" si="2"/>
        <v>57600264.253180273</v>
      </c>
      <c r="H18" s="35">
        <f t="shared" si="2"/>
        <v>43533697.709738642</v>
      </c>
      <c r="I18" s="35">
        <f t="shared" si="2"/>
        <v>22134362.699895248</v>
      </c>
      <c r="J18" s="35">
        <f t="shared" si="2"/>
        <v>19652042.146971017</v>
      </c>
      <c r="K18" s="35">
        <f t="shared" si="2"/>
        <v>15168478.66717916</v>
      </c>
      <c r="L18" s="35">
        <f t="shared" si="2"/>
        <v>83207966.452713609</v>
      </c>
      <c r="M18" s="35">
        <f t="shared" si="2"/>
        <v>108302142.87084664</v>
      </c>
      <c r="N18" s="35">
        <f t="shared" si="2"/>
        <v>68031750.712980315</v>
      </c>
      <c r="O18" s="28">
        <f>SUM(C15:N16)</f>
        <v>668860641.36933887</v>
      </c>
    </row>
    <row r="19" spans="1:15" x14ac:dyDescent="0.2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</row>
    <row r="20" spans="1:15" x14ac:dyDescent="0.2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</row>
    <row r="22" spans="1:15" x14ac:dyDescent="0.25">
      <c r="B22" t="s">
        <v>58</v>
      </c>
      <c r="C22" s="21">
        <f>+SUM($C12:C12)/1000</f>
        <v>53339.37325612377</v>
      </c>
      <c r="D22" s="21">
        <f>+SUM($C12:D12)/1000</f>
        <v>96185.433822400068</v>
      </c>
      <c r="E22" s="21">
        <f>+SUM($C12:E12)/1000</f>
        <v>152213.58943853562</v>
      </c>
      <c r="F22" s="21">
        <f>+SUM($C12:F12)/1000</f>
        <v>201278.21234521561</v>
      </c>
      <c r="G22" s="21">
        <f>+SUM($C12:G12)/1000</f>
        <v>245542.10369519927</v>
      </c>
      <c r="H22" s="21">
        <f>+SUM($C12:H12)/1000</f>
        <v>290128.50066519331</v>
      </c>
      <c r="I22" s="21">
        <f>+SUM($C12:I12)/1000</f>
        <v>346463.74069427024</v>
      </c>
      <c r="J22" s="21">
        <f>+SUM($C12:J12)/1000</f>
        <v>400555.00571752491</v>
      </c>
      <c r="K22" s="21">
        <f>+SUM($C12:K12)/1000</f>
        <v>453636.15402278106</v>
      </c>
      <c r="L22" s="21">
        <f>+SUM($C12:L12)/1000</f>
        <v>528847.42590239737</v>
      </c>
      <c r="M22" s="21">
        <f>+SUM($C12:M12)/1000</f>
        <v>609502.31184269942</v>
      </c>
      <c r="N22" s="21">
        <f>+SUM($C12:N12)/1000</f>
        <v>668860.64136933885</v>
      </c>
    </row>
    <row r="23" spans="1:15" x14ac:dyDescent="0.25">
      <c r="B23" t="s">
        <v>59</v>
      </c>
      <c r="C23" s="21">
        <f>+SUM($C18:C18)/1000</f>
        <v>46019.215373975479</v>
      </c>
      <c r="D23" s="21">
        <f>+SUM($C18:D18)/1000</f>
        <v>87702.181441242967</v>
      </c>
      <c r="E23" s="21">
        <f>+SUM($C18:E18)/1000</f>
        <v>183135.23515262341</v>
      </c>
      <c r="F23" s="21">
        <f>+SUM($C18:F18)/1000</f>
        <v>251229.9358558339</v>
      </c>
      <c r="G23" s="21">
        <f>+SUM($C18:G18)/1000</f>
        <v>308830.20010901417</v>
      </c>
      <c r="H23" s="21">
        <f>+SUM($C18:H18)/1000</f>
        <v>352363.89781875274</v>
      </c>
      <c r="I23" s="21">
        <f>+SUM($C18:I18)/1000</f>
        <v>374498.26051864802</v>
      </c>
      <c r="J23" s="21">
        <f>+SUM($C18:J18)/1000</f>
        <v>394150.302665619</v>
      </c>
      <c r="K23" s="21">
        <f>+SUM($C18:K18)/1000</f>
        <v>409318.78133279819</v>
      </c>
      <c r="L23" s="21">
        <f>+SUM($C18:L18)/1000</f>
        <v>492526.74778551178</v>
      </c>
      <c r="M23" s="21">
        <f>+SUM($C18:M18)/1000</f>
        <v>600828.89065635845</v>
      </c>
      <c r="N23" s="21">
        <f>+SUM($C18:N18)/1000</f>
        <v>668860.64136933873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ScalarApproach</vt:lpstr>
      <vt:lpstr>SR TOCA Add</vt:lpstr>
      <vt:lpstr>Chart1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Stiffler,Peter B (BPA) - MS-4</dc:creator>
  <cp:lastModifiedBy>Stiffler,Peter B (BPA) - KSL-4</cp:lastModifiedBy>
  <dcterms:created xsi:type="dcterms:W3CDTF">2024-01-31T15:42:38Z</dcterms:created>
  <dcterms:modified xsi:type="dcterms:W3CDTF">2024-02-16T20:53:04Z</dcterms:modified>
</cp:coreProperties>
</file>