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2868" yWindow="1020" windowWidth="26112" windowHeight="11580"/>
  </bookViews>
  <sheets>
    <sheet name="Rate Calculations" sheetId="10" r:id="rId1"/>
    <sheet name="Sum of Billing Determinants" sheetId="16" r:id="rId2"/>
    <sheet name="PF Customer Bill Amounts" sheetId="17" r:id="rId3"/>
  </sheets>
  <definedNames>
    <definedName name="FirstYear">#REF!</definedName>
    <definedName name="Options">#REF!</definedName>
    <definedName name="_xlnm.Print_Area" localSheetId="0">'Rate Calculations'!$A$1:$L$33</definedName>
    <definedName name="_xlnm.Print_Area" localSheetId="1">'Sum of Billing Determinants'!$A$1:$O$9</definedName>
    <definedName name="_xlnm.Print_Titles" localSheetId="2">'PF Customer Bill Amounts'!$B:$C,'PF Customer Bill Amounts'!$2:$4</definedName>
    <definedName name="SecondYear">#REF!</definedName>
    <definedName name="Spread">#REF!</definedName>
  </definedNames>
  <calcPr calcId="145621"/>
</workbook>
</file>

<file path=xl/calcChain.xml><?xml version="1.0" encoding="utf-8"?>
<calcChain xmlns="http://schemas.openxmlformats.org/spreadsheetml/2006/main">
  <c r="F23" i="16" l="1"/>
  <c r="C13" i="16"/>
  <c r="G28" i="10" l="1"/>
  <c r="D6" i="17"/>
  <c r="E6" i="17"/>
  <c r="F6" i="17"/>
  <c r="G6" i="17"/>
  <c r="H6" i="17"/>
  <c r="I6" i="17"/>
  <c r="J6" i="17"/>
  <c r="K6" i="17"/>
  <c r="L6" i="17"/>
  <c r="M6" i="17"/>
  <c r="D7" i="17"/>
  <c r="E7" i="17"/>
  <c r="F7" i="17"/>
  <c r="G7" i="17"/>
  <c r="H7" i="17"/>
  <c r="I7" i="17"/>
  <c r="J7" i="17"/>
  <c r="K7" i="17"/>
  <c r="L7" i="17"/>
  <c r="M7" i="17"/>
  <c r="D8" i="17"/>
  <c r="E8" i="17"/>
  <c r="F8" i="17"/>
  <c r="G8" i="17"/>
  <c r="H8" i="17"/>
  <c r="I8" i="17"/>
  <c r="J8" i="17"/>
  <c r="K8" i="17"/>
  <c r="L8" i="17"/>
  <c r="M8" i="17"/>
  <c r="D9" i="17"/>
  <c r="E9" i="17"/>
  <c r="F9" i="17"/>
  <c r="G9" i="17"/>
  <c r="H9" i="17"/>
  <c r="I9" i="17"/>
  <c r="J9" i="17"/>
  <c r="K9" i="17"/>
  <c r="L9" i="17"/>
  <c r="M9" i="17"/>
  <c r="D10" i="17"/>
  <c r="E10" i="17"/>
  <c r="F10" i="17"/>
  <c r="G10" i="17"/>
  <c r="H10" i="17"/>
  <c r="I10" i="17"/>
  <c r="J10" i="17"/>
  <c r="K10" i="17"/>
  <c r="L10" i="17"/>
  <c r="M10" i="17"/>
  <c r="D11" i="17"/>
  <c r="E11" i="17"/>
  <c r="F11" i="17"/>
  <c r="G11" i="17"/>
  <c r="H11" i="17"/>
  <c r="I11" i="17"/>
  <c r="J11" i="17"/>
  <c r="K11" i="17"/>
  <c r="L11" i="17"/>
  <c r="M11" i="17"/>
  <c r="D12" i="17"/>
  <c r="E12" i="17"/>
  <c r="F12" i="17"/>
  <c r="G12" i="17"/>
  <c r="H12" i="17"/>
  <c r="I12" i="17"/>
  <c r="J12" i="17"/>
  <c r="K12" i="17"/>
  <c r="L12" i="17"/>
  <c r="M12" i="17"/>
  <c r="D13" i="17"/>
  <c r="E13" i="17"/>
  <c r="F13" i="17"/>
  <c r="G13" i="17"/>
  <c r="H13" i="17"/>
  <c r="I13" i="17"/>
  <c r="J13" i="17"/>
  <c r="K13" i="17"/>
  <c r="L13" i="17"/>
  <c r="M13" i="17"/>
  <c r="D14" i="17"/>
  <c r="E14" i="17"/>
  <c r="F14" i="17"/>
  <c r="G14" i="17"/>
  <c r="H14" i="17"/>
  <c r="I14" i="17"/>
  <c r="J14" i="17"/>
  <c r="K14" i="17"/>
  <c r="L14" i="17"/>
  <c r="M14" i="17"/>
  <c r="D15" i="17"/>
  <c r="E15" i="17"/>
  <c r="F15" i="17"/>
  <c r="G15" i="17"/>
  <c r="H15" i="17"/>
  <c r="I15" i="17"/>
  <c r="J15" i="17"/>
  <c r="K15" i="17"/>
  <c r="L15" i="17"/>
  <c r="M15" i="17"/>
  <c r="D16" i="17"/>
  <c r="E16" i="17"/>
  <c r="F16" i="17"/>
  <c r="G16" i="17"/>
  <c r="H16" i="17"/>
  <c r="I16" i="17"/>
  <c r="J16" i="17"/>
  <c r="K16" i="17"/>
  <c r="L16" i="17"/>
  <c r="M16" i="17"/>
  <c r="D17" i="17"/>
  <c r="E17" i="17"/>
  <c r="F17" i="17"/>
  <c r="G17" i="17"/>
  <c r="H17" i="17"/>
  <c r="I17" i="17"/>
  <c r="J17" i="17"/>
  <c r="K17" i="17"/>
  <c r="L17" i="17"/>
  <c r="M17" i="17"/>
  <c r="D18" i="17"/>
  <c r="E18" i="17"/>
  <c r="F18" i="17"/>
  <c r="G18" i="17"/>
  <c r="H18" i="17"/>
  <c r="I18" i="17"/>
  <c r="J18" i="17"/>
  <c r="K18" i="17"/>
  <c r="L18" i="17"/>
  <c r="M18" i="17"/>
  <c r="D19" i="17"/>
  <c r="E19" i="17"/>
  <c r="F19" i="17"/>
  <c r="G19" i="17"/>
  <c r="H19" i="17"/>
  <c r="I19" i="17"/>
  <c r="J19" i="17"/>
  <c r="K19" i="17"/>
  <c r="L19" i="17"/>
  <c r="M19" i="17"/>
  <c r="D20" i="17"/>
  <c r="E20" i="17"/>
  <c r="F20" i="17"/>
  <c r="G20" i="17"/>
  <c r="H20" i="17"/>
  <c r="I20" i="17"/>
  <c r="J20" i="17"/>
  <c r="K20" i="17"/>
  <c r="L20" i="17"/>
  <c r="M20" i="17"/>
  <c r="D21" i="17"/>
  <c r="E21" i="17"/>
  <c r="F21" i="17"/>
  <c r="G21" i="17"/>
  <c r="H21" i="17"/>
  <c r="I21" i="17"/>
  <c r="J21" i="17"/>
  <c r="K21" i="17"/>
  <c r="L21" i="17"/>
  <c r="M21" i="17"/>
  <c r="D22" i="17"/>
  <c r="E22" i="17"/>
  <c r="F22" i="17"/>
  <c r="G22" i="17"/>
  <c r="H22" i="17"/>
  <c r="I22" i="17"/>
  <c r="J22" i="17"/>
  <c r="K22" i="17"/>
  <c r="L22" i="17"/>
  <c r="M22" i="17"/>
  <c r="D23" i="17"/>
  <c r="E23" i="17"/>
  <c r="F23" i="17"/>
  <c r="G23" i="17"/>
  <c r="H23" i="17"/>
  <c r="I23" i="17"/>
  <c r="J23" i="17"/>
  <c r="K23" i="17"/>
  <c r="L23" i="17"/>
  <c r="M23" i="17"/>
  <c r="D24" i="17"/>
  <c r="E24" i="17"/>
  <c r="F24" i="17"/>
  <c r="G24" i="17"/>
  <c r="H24" i="17"/>
  <c r="I24" i="17"/>
  <c r="J24" i="17"/>
  <c r="K24" i="17"/>
  <c r="L24" i="17"/>
  <c r="M24" i="17"/>
  <c r="D25" i="17"/>
  <c r="E25" i="17"/>
  <c r="F25" i="17"/>
  <c r="G25" i="17"/>
  <c r="H25" i="17"/>
  <c r="I25" i="17"/>
  <c r="J25" i="17"/>
  <c r="K25" i="17"/>
  <c r="L25" i="17"/>
  <c r="M25" i="17"/>
  <c r="D26" i="17"/>
  <c r="E26" i="17"/>
  <c r="F26" i="17"/>
  <c r="G26" i="17"/>
  <c r="H26" i="17"/>
  <c r="I26" i="17"/>
  <c r="J26" i="17"/>
  <c r="K26" i="17"/>
  <c r="L26" i="17"/>
  <c r="M26" i="17"/>
  <c r="D27" i="17"/>
  <c r="E27" i="17"/>
  <c r="F27" i="17"/>
  <c r="G27" i="17"/>
  <c r="H27" i="17"/>
  <c r="I27" i="17"/>
  <c r="J27" i="17"/>
  <c r="K27" i="17"/>
  <c r="L27" i="17"/>
  <c r="M27" i="17"/>
  <c r="D28" i="17"/>
  <c r="E28" i="17"/>
  <c r="F28" i="17"/>
  <c r="G28" i="17"/>
  <c r="H28" i="17"/>
  <c r="I28" i="17"/>
  <c r="J28" i="17"/>
  <c r="K28" i="17"/>
  <c r="L28" i="17"/>
  <c r="M28" i="17"/>
  <c r="D29" i="17"/>
  <c r="E29" i="17"/>
  <c r="F29" i="17"/>
  <c r="G29" i="17"/>
  <c r="H29" i="17"/>
  <c r="I29" i="17"/>
  <c r="J29" i="17"/>
  <c r="K29" i="17"/>
  <c r="L29" i="17"/>
  <c r="M29" i="17"/>
  <c r="D30" i="17"/>
  <c r="E30" i="17"/>
  <c r="F30" i="17"/>
  <c r="G30" i="17"/>
  <c r="H30" i="17"/>
  <c r="I30" i="17"/>
  <c r="J30" i="17"/>
  <c r="K30" i="17"/>
  <c r="L30" i="17"/>
  <c r="M30" i="17"/>
  <c r="D31" i="17"/>
  <c r="E31" i="17"/>
  <c r="F31" i="17"/>
  <c r="G31" i="17"/>
  <c r="H31" i="17"/>
  <c r="I31" i="17"/>
  <c r="J31" i="17"/>
  <c r="K31" i="17"/>
  <c r="L31" i="17"/>
  <c r="M31" i="17"/>
  <c r="D32" i="17"/>
  <c r="E32" i="17"/>
  <c r="F32" i="17"/>
  <c r="G32" i="17"/>
  <c r="H32" i="17"/>
  <c r="I32" i="17"/>
  <c r="J32" i="17"/>
  <c r="K32" i="17"/>
  <c r="L32" i="17"/>
  <c r="M32" i="17"/>
  <c r="D33" i="17"/>
  <c r="E33" i="17"/>
  <c r="F33" i="17"/>
  <c r="G33" i="17"/>
  <c r="H33" i="17"/>
  <c r="I33" i="17"/>
  <c r="J33" i="17"/>
  <c r="K33" i="17"/>
  <c r="L33" i="17"/>
  <c r="M33" i="17"/>
  <c r="D34" i="17"/>
  <c r="E34" i="17"/>
  <c r="F34" i="17"/>
  <c r="G34" i="17"/>
  <c r="H34" i="17"/>
  <c r="I34" i="17"/>
  <c r="J34" i="17"/>
  <c r="K34" i="17"/>
  <c r="L34" i="17"/>
  <c r="M34" i="17"/>
  <c r="D35" i="17"/>
  <c r="E35" i="17"/>
  <c r="F35" i="17"/>
  <c r="G35" i="17"/>
  <c r="H35" i="17"/>
  <c r="I35" i="17"/>
  <c r="J35" i="17"/>
  <c r="K35" i="17"/>
  <c r="L35" i="17"/>
  <c r="M35" i="17"/>
  <c r="D36" i="17"/>
  <c r="E36" i="17"/>
  <c r="F36" i="17"/>
  <c r="G36" i="17"/>
  <c r="H36" i="17"/>
  <c r="I36" i="17"/>
  <c r="J36" i="17"/>
  <c r="K36" i="17"/>
  <c r="L36" i="17"/>
  <c r="M36" i="17"/>
  <c r="D37" i="17"/>
  <c r="E37" i="17"/>
  <c r="F37" i="17"/>
  <c r="G37" i="17"/>
  <c r="H37" i="17"/>
  <c r="I37" i="17"/>
  <c r="J37" i="17"/>
  <c r="K37" i="17"/>
  <c r="L37" i="17"/>
  <c r="M37" i="17"/>
  <c r="D38" i="17"/>
  <c r="E38" i="17"/>
  <c r="F38" i="17"/>
  <c r="G38" i="17"/>
  <c r="H38" i="17"/>
  <c r="I38" i="17"/>
  <c r="J38" i="17"/>
  <c r="K38" i="17"/>
  <c r="L38" i="17"/>
  <c r="M38" i="17"/>
  <c r="D39" i="17"/>
  <c r="E39" i="17"/>
  <c r="F39" i="17"/>
  <c r="G39" i="17"/>
  <c r="H39" i="17"/>
  <c r="I39" i="17"/>
  <c r="J39" i="17"/>
  <c r="K39" i="17"/>
  <c r="L39" i="17"/>
  <c r="M39" i="17"/>
  <c r="D40" i="17"/>
  <c r="E40" i="17"/>
  <c r="F40" i="17"/>
  <c r="G40" i="17"/>
  <c r="H40" i="17"/>
  <c r="I40" i="17"/>
  <c r="J40" i="17"/>
  <c r="K40" i="17"/>
  <c r="L40" i="17"/>
  <c r="M40" i="17"/>
  <c r="D41" i="17"/>
  <c r="E41" i="17"/>
  <c r="F41" i="17"/>
  <c r="G41" i="17"/>
  <c r="H41" i="17"/>
  <c r="I41" i="17"/>
  <c r="J41" i="17"/>
  <c r="K41" i="17"/>
  <c r="L41" i="17"/>
  <c r="M41" i="17"/>
  <c r="D42" i="17"/>
  <c r="E42" i="17"/>
  <c r="F42" i="17"/>
  <c r="G42" i="17"/>
  <c r="H42" i="17"/>
  <c r="I42" i="17"/>
  <c r="J42" i="17"/>
  <c r="K42" i="17"/>
  <c r="L42" i="17"/>
  <c r="M42" i="17"/>
  <c r="D43" i="17"/>
  <c r="E43" i="17"/>
  <c r="F43" i="17"/>
  <c r="G43" i="17"/>
  <c r="H43" i="17"/>
  <c r="I43" i="17"/>
  <c r="J43" i="17"/>
  <c r="K43" i="17"/>
  <c r="L43" i="17"/>
  <c r="M43" i="17"/>
  <c r="D44" i="17"/>
  <c r="E44" i="17"/>
  <c r="F44" i="17"/>
  <c r="G44" i="17"/>
  <c r="H44" i="17"/>
  <c r="I44" i="17"/>
  <c r="J44" i="17"/>
  <c r="K44" i="17"/>
  <c r="L44" i="17"/>
  <c r="M44" i="17"/>
  <c r="D45" i="17"/>
  <c r="E45" i="17"/>
  <c r="F45" i="17"/>
  <c r="G45" i="17"/>
  <c r="H45" i="17"/>
  <c r="I45" i="17"/>
  <c r="J45" i="17"/>
  <c r="K45" i="17"/>
  <c r="L45" i="17"/>
  <c r="M45" i="17"/>
  <c r="D46" i="17"/>
  <c r="E46" i="17"/>
  <c r="F46" i="17"/>
  <c r="G46" i="17"/>
  <c r="H46" i="17"/>
  <c r="I46" i="17"/>
  <c r="J46" i="17"/>
  <c r="K46" i="17"/>
  <c r="L46" i="17"/>
  <c r="M46" i="17"/>
  <c r="D47" i="17"/>
  <c r="E47" i="17"/>
  <c r="F47" i="17"/>
  <c r="G47" i="17"/>
  <c r="H47" i="17"/>
  <c r="I47" i="17"/>
  <c r="J47" i="17"/>
  <c r="K47" i="17"/>
  <c r="L47" i="17"/>
  <c r="M47" i="17"/>
  <c r="D48" i="17"/>
  <c r="E48" i="17"/>
  <c r="F48" i="17"/>
  <c r="G48" i="17"/>
  <c r="H48" i="17"/>
  <c r="I48" i="17"/>
  <c r="J48" i="17"/>
  <c r="K48" i="17"/>
  <c r="L48" i="17"/>
  <c r="M48" i="17"/>
  <c r="D49" i="17"/>
  <c r="E49" i="17"/>
  <c r="F49" i="17"/>
  <c r="G49" i="17"/>
  <c r="H49" i="17"/>
  <c r="I49" i="17"/>
  <c r="J49" i="17"/>
  <c r="K49" i="17"/>
  <c r="L49" i="17"/>
  <c r="M49" i="17"/>
  <c r="D50" i="17"/>
  <c r="E50" i="17"/>
  <c r="F50" i="17"/>
  <c r="G50" i="17"/>
  <c r="H50" i="17"/>
  <c r="I50" i="17"/>
  <c r="J50" i="17"/>
  <c r="K50" i="17"/>
  <c r="L50" i="17"/>
  <c r="M50" i="17"/>
  <c r="D51" i="17"/>
  <c r="E51" i="17"/>
  <c r="F51" i="17"/>
  <c r="G51" i="17"/>
  <c r="H51" i="17"/>
  <c r="I51" i="17"/>
  <c r="J51" i="17"/>
  <c r="K51" i="17"/>
  <c r="L51" i="17"/>
  <c r="M51" i="17"/>
  <c r="D52" i="17"/>
  <c r="E52" i="17"/>
  <c r="F52" i="17"/>
  <c r="G52" i="17"/>
  <c r="H52" i="17"/>
  <c r="I52" i="17"/>
  <c r="J52" i="17"/>
  <c r="K52" i="17"/>
  <c r="L52" i="17"/>
  <c r="M52" i="17"/>
  <c r="D53" i="17"/>
  <c r="E53" i="17"/>
  <c r="F53" i="17"/>
  <c r="G53" i="17"/>
  <c r="H53" i="17"/>
  <c r="I53" i="17"/>
  <c r="J53" i="17"/>
  <c r="K53" i="17"/>
  <c r="L53" i="17"/>
  <c r="M53" i="17"/>
  <c r="D54" i="17"/>
  <c r="E54" i="17"/>
  <c r="F54" i="17"/>
  <c r="G54" i="17"/>
  <c r="H54" i="17"/>
  <c r="I54" i="17"/>
  <c r="J54" i="17"/>
  <c r="K54" i="17"/>
  <c r="L54" i="17"/>
  <c r="M54" i="17"/>
  <c r="D55" i="17"/>
  <c r="E55" i="17"/>
  <c r="F55" i="17"/>
  <c r="G55" i="17"/>
  <c r="H55" i="17"/>
  <c r="I55" i="17"/>
  <c r="J55" i="17"/>
  <c r="K55" i="17"/>
  <c r="L55" i="17"/>
  <c r="M55" i="17"/>
  <c r="D56" i="17"/>
  <c r="E56" i="17"/>
  <c r="F56" i="17"/>
  <c r="G56" i="17"/>
  <c r="H56" i="17"/>
  <c r="I56" i="17"/>
  <c r="J56" i="17"/>
  <c r="K56" i="17"/>
  <c r="L56" i="17"/>
  <c r="M56" i="17"/>
  <c r="D57" i="17"/>
  <c r="E57" i="17"/>
  <c r="F57" i="17"/>
  <c r="G57" i="17"/>
  <c r="H57" i="17"/>
  <c r="I57" i="17"/>
  <c r="J57" i="17"/>
  <c r="K57" i="17"/>
  <c r="L57" i="17"/>
  <c r="M57" i="17"/>
  <c r="D58" i="17"/>
  <c r="E58" i="17"/>
  <c r="F58" i="17"/>
  <c r="G58" i="17"/>
  <c r="H58" i="17"/>
  <c r="I58" i="17"/>
  <c r="J58" i="17"/>
  <c r="K58" i="17"/>
  <c r="L58" i="17"/>
  <c r="M58" i="17"/>
  <c r="D59" i="17"/>
  <c r="E59" i="17"/>
  <c r="F59" i="17"/>
  <c r="G59" i="17"/>
  <c r="H59" i="17"/>
  <c r="I59" i="17"/>
  <c r="J59" i="17"/>
  <c r="K59" i="17"/>
  <c r="L59" i="17"/>
  <c r="M59" i="17"/>
  <c r="D60" i="17"/>
  <c r="E60" i="17"/>
  <c r="F60" i="17"/>
  <c r="G60" i="17"/>
  <c r="H60" i="17"/>
  <c r="I60" i="17"/>
  <c r="J60" i="17"/>
  <c r="K60" i="17"/>
  <c r="L60" i="17"/>
  <c r="M60" i="17"/>
  <c r="D61" i="17"/>
  <c r="E61" i="17"/>
  <c r="F61" i="17"/>
  <c r="G61" i="17"/>
  <c r="H61" i="17"/>
  <c r="I61" i="17"/>
  <c r="J61" i="17"/>
  <c r="K61" i="17"/>
  <c r="L61" i="17"/>
  <c r="M61" i="17"/>
  <c r="D62" i="17"/>
  <c r="E62" i="17"/>
  <c r="F62" i="17"/>
  <c r="G62" i="17"/>
  <c r="H62" i="17"/>
  <c r="I62" i="17"/>
  <c r="J62" i="17"/>
  <c r="K62" i="17"/>
  <c r="L62" i="17"/>
  <c r="M62" i="17"/>
  <c r="D63" i="17"/>
  <c r="E63" i="17"/>
  <c r="F63" i="17"/>
  <c r="G63" i="17"/>
  <c r="H63" i="17"/>
  <c r="I63" i="17"/>
  <c r="J63" i="17"/>
  <c r="K63" i="17"/>
  <c r="L63" i="17"/>
  <c r="M63" i="17"/>
  <c r="D64" i="17"/>
  <c r="E64" i="17"/>
  <c r="F64" i="17"/>
  <c r="G64" i="17"/>
  <c r="H64" i="17"/>
  <c r="I64" i="17"/>
  <c r="J64" i="17"/>
  <c r="K64" i="17"/>
  <c r="L64" i="17"/>
  <c r="M64" i="17"/>
  <c r="D65" i="17"/>
  <c r="E65" i="17"/>
  <c r="F65" i="17"/>
  <c r="G65" i="17"/>
  <c r="H65" i="17"/>
  <c r="I65" i="17"/>
  <c r="J65" i="17"/>
  <c r="K65" i="17"/>
  <c r="L65" i="17"/>
  <c r="M65" i="17"/>
  <c r="D66" i="17"/>
  <c r="E66" i="17"/>
  <c r="F66" i="17"/>
  <c r="G66" i="17"/>
  <c r="H66" i="17"/>
  <c r="I66" i="17"/>
  <c r="J66" i="17"/>
  <c r="K66" i="17"/>
  <c r="L66" i="17"/>
  <c r="M66" i="17"/>
  <c r="D67" i="17"/>
  <c r="E67" i="17"/>
  <c r="F67" i="17"/>
  <c r="G67" i="17"/>
  <c r="H67" i="17"/>
  <c r="I67" i="17"/>
  <c r="J67" i="17"/>
  <c r="K67" i="17"/>
  <c r="L67" i="17"/>
  <c r="M67" i="17"/>
  <c r="D68" i="17"/>
  <c r="E68" i="17"/>
  <c r="F68" i="17"/>
  <c r="G68" i="17"/>
  <c r="H68" i="17"/>
  <c r="I68" i="17"/>
  <c r="J68" i="17"/>
  <c r="K68" i="17"/>
  <c r="L68" i="17"/>
  <c r="M68" i="17"/>
  <c r="D69" i="17"/>
  <c r="E69" i="17"/>
  <c r="F69" i="17"/>
  <c r="G69" i="17"/>
  <c r="H69" i="17"/>
  <c r="I69" i="17"/>
  <c r="J69" i="17"/>
  <c r="K69" i="17"/>
  <c r="L69" i="17"/>
  <c r="M69" i="17"/>
  <c r="D70" i="17"/>
  <c r="E70" i="17"/>
  <c r="F70" i="17"/>
  <c r="G70" i="17"/>
  <c r="H70" i="17"/>
  <c r="I70" i="17"/>
  <c r="J70" i="17"/>
  <c r="K70" i="17"/>
  <c r="L70" i="17"/>
  <c r="M70" i="17"/>
  <c r="D71" i="17"/>
  <c r="E71" i="17"/>
  <c r="F71" i="17"/>
  <c r="G71" i="17"/>
  <c r="H71" i="17"/>
  <c r="I71" i="17"/>
  <c r="J71" i="17"/>
  <c r="K71" i="17"/>
  <c r="L71" i="17"/>
  <c r="M71" i="17"/>
  <c r="D72" i="17"/>
  <c r="E72" i="17"/>
  <c r="F72" i="17"/>
  <c r="G72" i="17"/>
  <c r="H72" i="17"/>
  <c r="I72" i="17"/>
  <c r="J72" i="17"/>
  <c r="K72" i="17"/>
  <c r="L72" i="17"/>
  <c r="M72" i="17"/>
  <c r="D73" i="17"/>
  <c r="E73" i="17"/>
  <c r="F73" i="17"/>
  <c r="G73" i="17"/>
  <c r="H73" i="17"/>
  <c r="I73" i="17"/>
  <c r="J73" i="17"/>
  <c r="K73" i="17"/>
  <c r="L73" i="17"/>
  <c r="M73" i="17"/>
  <c r="D74" i="17"/>
  <c r="E74" i="17"/>
  <c r="F74" i="17"/>
  <c r="G74" i="17"/>
  <c r="H74" i="17"/>
  <c r="I74" i="17"/>
  <c r="J74" i="17"/>
  <c r="K74" i="17"/>
  <c r="L74" i="17"/>
  <c r="M74" i="17"/>
  <c r="D75" i="17"/>
  <c r="E75" i="17"/>
  <c r="F75" i="17"/>
  <c r="G75" i="17"/>
  <c r="H75" i="17"/>
  <c r="I75" i="17"/>
  <c r="J75" i="17"/>
  <c r="K75" i="17"/>
  <c r="L75" i="17"/>
  <c r="M75" i="17"/>
  <c r="D76" i="17"/>
  <c r="E76" i="17"/>
  <c r="F76" i="17"/>
  <c r="G76" i="17"/>
  <c r="H76" i="17"/>
  <c r="I76" i="17"/>
  <c r="J76" i="17"/>
  <c r="K76" i="17"/>
  <c r="L76" i="17"/>
  <c r="M76" i="17"/>
  <c r="D77" i="17"/>
  <c r="E77" i="17"/>
  <c r="F77" i="17"/>
  <c r="G77" i="17"/>
  <c r="H77" i="17"/>
  <c r="I77" i="17"/>
  <c r="J77" i="17"/>
  <c r="K77" i="17"/>
  <c r="L77" i="17"/>
  <c r="M77" i="17"/>
  <c r="D78" i="17"/>
  <c r="E78" i="17"/>
  <c r="F78" i="17"/>
  <c r="G78" i="17"/>
  <c r="H78" i="17"/>
  <c r="I78" i="17"/>
  <c r="J78" i="17"/>
  <c r="K78" i="17"/>
  <c r="L78" i="17"/>
  <c r="M78" i="17"/>
  <c r="D79" i="17"/>
  <c r="E79" i="17"/>
  <c r="F79" i="17"/>
  <c r="G79" i="17"/>
  <c r="H79" i="17"/>
  <c r="I79" i="17"/>
  <c r="J79" i="17"/>
  <c r="K79" i="17"/>
  <c r="L79" i="17"/>
  <c r="M79" i="17"/>
  <c r="D80" i="17"/>
  <c r="E80" i="17"/>
  <c r="F80" i="17"/>
  <c r="G80" i="17"/>
  <c r="H80" i="17"/>
  <c r="I80" i="17"/>
  <c r="J80" i="17"/>
  <c r="K80" i="17"/>
  <c r="L80" i="17"/>
  <c r="M80" i="17"/>
  <c r="D81" i="17"/>
  <c r="E81" i="17"/>
  <c r="F81" i="17"/>
  <c r="G81" i="17"/>
  <c r="H81" i="17"/>
  <c r="I81" i="17"/>
  <c r="J81" i="17"/>
  <c r="K81" i="17"/>
  <c r="L81" i="17"/>
  <c r="M81" i="17"/>
  <c r="D82" i="17"/>
  <c r="E82" i="17"/>
  <c r="F82" i="17"/>
  <c r="G82" i="17"/>
  <c r="H82" i="17"/>
  <c r="I82" i="17"/>
  <c r="J82" i="17"/>
  <c r="K82" i="17"/>
  <c r="L82" i="17"/>
  <c r="M82" i="17"/>
  <c r="D83" i="17"/>
  <c r="E83" i="17"/>
  <c r="F83" i="17"/>
  <c r="G83" i="17"/>
  <c r="H83" i="17"/>
  <c r="I83" i="17"/>
  <c r="J83" i="17"/>
  <c r="K83" i="17"/>
  <c r="L83" i="17"/>
  <c r="M83" i="17"/>
  <c r="D84" i="17"/>
  <c r="E84" i="17"/>
  <c r="F84" i="17"/>
  <c r="G84" i="17"/>
  <c r="H84" i="17"/>
  <c r="I84" i="17"/>
  <c r="J84" i="17"/>
  <c r="K84" i="17"/>
  <c r="L84" i="17"/>
  <c r="M84" i="17"/>
  <c r="D85" i="17"/>
  <c r="E85" i="17"/>
  <c r="F85" i="17"/>
  <c r="G85" i="17"/>
  <c r="H85" i="17"/>
  <c r="I85" i="17"/>
  <c r="J85" i="17"/>
  <c r="K85" i="17"/>
  <c r="L85" i="17"/>
  <c r="M85" i="17"/>
  <c r="D86" i="17"/>
  <c r="E86" i="17"/>
  <c r="F86" i="17"/>
  <c r="G86" i="17"/>
  <c r="H86" i="17"/>
  <c r="I86" i="17"/>
  <c r="J86" i="17"/>
  <c r="K86" i="17"/>
  <c r="L86" i="17"/>
  <c r="M86" i="17"/>
  <c r="D87" i="17"/>
  <c r="E87" i="17"/>
  <c r="F87" i="17"/>
  <c r="G87" i="17"/>
  <c r="H87" i="17"/>
  <c r="I87" i="17"/>
  <c r="J87" i="17"/>
  <c r="K87" i="17"/>
  <c r="L87" i="17"/>
  <c r="M87" i="17"/>
  <c r="D88" i="17"/>
  <c r="E88" i="17"/>
  <c r="F88" i="17"/>
  <c r="G88" i="17"/>
  <c r="H88" i="17"/>
  <c r="I88" i="17"/>
  <c r="J88" i="17"/>
  <c r="K88" i="17"/>
  <c r="L88" i="17"/>
  <c r="M88" i="17"/>
  <c r="D89" i="17"/>
  <c r="E89" i="17"/>
  <c r="F89" i="17"/>
  <c r="G89" i="17"/>
  <c r="H89" i="17"/>
  <c r="I89" i="17"/>
  <c r="J89" i="17"/>
  <c r="K89" i="17"/>
  <c r="L89" i="17"/>
  <c r="M89" i="17"/>
  <c r="D90" i="17"/>
  <c r="E90" i="17"/>
  <c r="F90" i="17"/>
  <c r="G90" i="17"/>
  <c r="H90" i="17"/>
  <c r="I90" i="17"/>
  <c r="J90" i="17"/>
  <c r="K90" i="17"/>
  <c r="L90" i="17"/>
  <c r="M90" i="17"/>
  <c r="D91" i="17"/>
  <c r="E91" i="17"/>
  <c r="F91" i="17"/>
  <c r="G91" i="17"/>
  <c r="H91" i="17"/>
  <c r="I91" i="17"/>
  <c r="J91" i="17"/>
  <c r="K91" i="17"/>
  <c r="L91" i="17"/>
  <c r="M91" i="17"/>
  <c r="D92" i="17"/>
  <c r="E92" i="17"/>
  <c r="F92" i="17"/>
  <c r="G92" i="17"/>
  <c r="H92" i="17"/>
  <c r="I92" i="17"/>
  <c r="J92" i="17"/>
  <c r="K92" i="17"/>
  <c r="L92" i="17"/>
  <c r="M92" i="17"/>
  <c r="D93" i="17"/>
  <c r="E93" i="17"/>
  <c r="F93" i="17"/>
  <c r="G93" i="17"/>
  <c r="H93" i="17"/>
  <c r="I93" i="17"/>
  <c r="J93" i="17"/>
  <c r="K93" i="17"/>
  <c r="L93" i="17"/>
  <c r="M93" i="17"/>
  <c r="D94" i="17"/>
  <c r="E94" i="17"/>
  <c r="F94" i="17"/>
  <c r="G94" i="17"/>
  <c r="H94" i="17"/>
  <c r="I94" i="17"/>
  <c r="J94" i="17"/>
  <c r="K94" i="17"/>
  <c r="L94" i="17"/>
  <c r="M94" i="17"/>
  <c r="D95" i="17"/>
  <c r="E95" i="17"/>
  <c r="F95" i="17"/>
  <c r="G95" i="17"/>
  <c r="H95" i="17"/>
  <c r="I95" i="17"/>
  <c r="J95" i="17"/>
  <c r="K95" i="17"/>
  <c r="L95" i="17"/>
  <c r="M95" i="17"/>
  <c r="D96" i="17"/>
  <c r="E96" i="17"/>
  <c r="F96" i="17"/>
  <c r="G96" i="17"/>
  <c r="H96" i="17"/>
  <c r="I96" i="17"/>
  <c r="J96" i="17"/>
  <c r="K96" i="17"/>
  <c r="L96" i="17"/>
  <c r="M96" i="17"/>
  <c r="D97" i="17"/>
  <c r="E97" i="17"/>
  <c r="F97" i="17"/>
  <c r="G97" i="17"/>
  <c r="H97" i="17"/>
  <c r="I97" i="17"/>
  <c r="J97" i="17"/>
  <c r="K97" i="17"/>
  <c r="L97" i="17"/>
  <c r="M97" i="17"/>
  <c r="D98" i="17"/>
  <c r="E98" i="17"/>
  <c r="F98" i="17"/>
  <c r="G98" i="17"/>
  <c r="H98" i="17"/>
  <c r="I98" i="17"/>
  <c r="J98" i="17"/>
  <c r="K98" i="17"/>
  <c r="L98" i="17"/>
  <c r="M98" i="17"/>
  <c r="D99" i="17"/>
  <c r="E99" i="17"/>
  <c r="F99" i="17"/>
  <c r="G99" i="17"/>
  <c r="H99" i="17"/>
  <c r="I99" i="17"/>
  <c r="J99" i="17"/>
  <c r="K99" i="17"/>
  <c r="L99" i="17"/>
  <c r="M99" i="17"/>
  <c r="D100" i="17"/>
  <c r="E100" i="17"/>
  <c r="F100" i="17"/>
  <c r="G100" i="17"/>
  <c r="H100" i="17"/>
  <c r="I100" i="17"/>
  <c r="J100" i="17"/>
  <c r="K100" i="17"/>
  <c r="L100" i="17"/>
  <c r="M100" i="17"/>
  <c r="D101" i="17"/>
  <c r="E101" i="17"/>
  <c r="F101" i="17"/>
  <c r="G101" i="17"/>
  <c r="H101" i="17"/>
  <c r="I101" i="17"/>
  <c r="J101" i="17"/>
  <c r="K101" i="17"/>
  <c r="L101" i="17"/>
  <c r="M101" i="17"/>
  <c r="D102" i="17"/>
  <c r="E102" i="17"/>
  <c r="F102" i="17"/>
  <c r="G102" i="17"/>
  <c r="H102" i="17"/>
  <c r="I102" i="17"/>
  <c r="J102" i="17"/>
  <c r="K102" i="17"/>
  <c r="L102" i="17"/>
  <c r="M102" i="17"/>
  <c r="D103" i="17"/>
  <c r="E103" i="17"/>
  <c r="F103" i="17"/>
  <c r="G103" i="17"/>
  <c r="H103" i="17"/>
  <c r="I103" i="17"/>
  <c r="J103" i="17"/>
  <c r="K103" i="17"/>
  <c r="L103" i="17"/>
  <c r="M103" i="17"/>
  <c r="D104" i="17"/>
  <c r="E104" i="17"/>
  <c r="F104" i="17"/>
  <c r="G104" i="17"/>
  <c r="H104" i="17"/>
  <c r="I104" i="17"/>
  <c r="J104" i="17"/>
  <c r="K104" i="17"/>
  <c r="L104" i="17"/>
  <c r="M104" i="17"/>
  <c r="D105" i="17"/>
  <c r="E105" i="17"/>
  <c r="F105" i="17"/>
  <c r="G105" i="17"/>
  <c r="H105" i="17"/>
  <c r="I105" i="17"/>
  <c r="J105" i="17"/>
  <c r="K105" i="17"/>
  <c r="L105" i="17"/>
  <c r="M105" i="17"/>
  <c r="D106" i="17"/>
  <c r="E106" i="17"/>
  <c r="F106" i="17"/>
  <c r="G106" i="17"/>
  <c r="H106" i="17"/>
  <c r="I106" i="17"/>
  <c r="J106" i="17"/>
  <c r="K106" i="17"/>
  <c r="L106" i="17"/>
  <c r="M106" i="17"/>
  <c r="D107" i="17"/>
  <c r="E107" i="17"/>
  <c r="F107" i="17"/>
  <c r="G107" i="17"/>
  <c r="H107" i="17"/>
  <c r="I107" i="17"/>
  <c r="J107" i="17"/>
  <c r="K107" i="17"/>
  <c r="L107" i="17"/>
  <c r="M107" i="17"/>
  <c r="D108" i="17"/>
  <c r="E108" i="17"/>
  <c r="F108" i="17"/>
  <c r="G108" i="17"/>
  <c r="H108" i="17"/>
  <c r="I108" i="17"/>
  <c r="J108" i="17"/>
  <c r="K108" i="17"/>
  <c r="L108" i="17"/>
  <c r="M108" i="17"/>
  <c r="D109" i="17"/>
  <c r="E109" i="17"/>
  <c r="F109" i="17"/>
  <c r="G109" i="17"/>
  <c r="H109" i="17"/>
  <c r="I109" i="17"/>
  <c r="J109" i="17"/>
  <c r="K109" i="17"/>
  <c r="L109" i="17"/>
  <c r="M109" i="17"/>
  <c r="D110" i="17"/>
  <c r="E110" i="17"/>
  <c r="F110" i="17"/>
  <c r="G110" i="17"/>
  <c r="H110" i="17"/>
  <c r="I110" i="17"/>
  <c r="J110" i="17"/>
  <c r="K110" i="17"/>
  <c r="L110" i="17"/>
  <c r="M110" i="17"/>
  <c r="D111" i="17"/>
  <c r="E111" i="17"/>
  <c r="F111" i="17"/>
  <c r="G111" i="17"/>
  <c r="H111" i="17"/>
  <c r="I111" i="17"/>
  <c r="J111" i="17"/>
  <c r="K111" i="17"/>
  <c r="L111" i="17"/>
  <c r="M111" i="17"/>
  <c r="D112" i="17"/>
  <c r="E112" i="17"/>
  <c r="F112" i="17"/>
  <c r="G112" i="17"/>
  <c r="H112" i="17"/>
  <c r="I112" i="17"/>
  <c r="J112" i="17"/>
  <c r="K112" i="17"/>
  <c r="L112" i="17"/>
  <c r="M112" i="17"/>
  <c r="D113" i="17"/>
  <c r="E113" i="17"/>
  <c r="F113" i="17"/>
  <c r="G113" i="17"/>
  <c r="H113" i="17"/>
  <c r="I113" i="17"/>
  <c r="J113" i="17"/>
  <c r="K113" i="17"/>
  <c r="L113" i="17"/>
  <c r="M113" i="17"/>
  <c r="D114" i="17"/>
  <c r="E114" i="17"/>
  <c r="F114" i="17"/>
  <c r="G114" i="17"/>
  <c r="H114" i="17"/>
  <c r="I114" i="17"/>
  <c r="J114" i="17"/>
  <c r="K114" i="17"/>
  <c r="L114" i="17"/>
  <c r="M114" i="17"/>
  <c r="D115" i="17"/>
  <c r="E115" i="17"/>
  <c r="F115" i="17"/>
  <c r="G115" i="17"/>
  <c r="H115" i="17"/>
  <c r="I115" i="17"/>
  <c r="J115" i="17"/>
  <c r="K115" i="17"/>
  <c r="L115" i="17"/>
  <c r="M115" i="17"/>
  <c r="D116" i="17"/>
  <c r="E116" i="17"/>
  <c r="F116" i="17"/>
  <c r="G116" i="17"/>
  <c r="H116" i="17"/>
  <c r="I116" i="17"/>
  <c r="J116" i="17"/>
  <c r="K116" i="17"/>
  <c r="L116" i="17"/>
  <c r="M116" i="17"/>
  <c r="D117" i="17"/>
  <c r="E117" i="17"/>
  <c r="F117" i="17"/>
  <c r="G117" i="17"/>
  <c r="H117" i="17"/>
  <c r="I117" i="17"/>
  <c r="J117" i="17"/>
  <c r="K117" i="17"/>
  <c r="L117" i="17"/>
  <c r="M117" i="17"/>
  <c r="D118" i="17"/>
  <c r="E118" i="17"/>
  <c r="F118" i="17"/>
  <c r="G118" i="17"/>
  <c r="H118" i="17"/>
  <c r="I118" i="17"/>
  <c r="J118" i="17"/>
  <c r="K118" i="17"/>
  <c r="L118" i="17"/>
  <c r="M118" i="17"/>
  <c r="D119" i="17"/>
  <c r="E119" i="17"/>
  <c r="F119" i="17"/>
  <c r="G119" i="17"/>
  <c r="H119" i="17"/>
  <c r="I119" i="17"/>
  <c r="J119" i="17"/>
  <c r="K119" i="17"/>
  <c r="L119" i="17"/>
  <c r="M119" i="17"/>
  <c r="D120" i="17"/>
  <c r="E120" i="17"/>
  <c r="F120" i="17"/>
  <c r="G120" i="17"/>
  <c r="H120" i="17"/>
  <c r="I120" i="17"/>
  <c r="J120" i="17"/>
  <c r="K120" i="17"/>
  <c r="L120" i="17"/>
  <c r="M120" i="17"/>
  <c r="D121" i="17"/>
  <c r="E121" i="17"/>
  <c r="F121" i="17"/>
  <c r="G121" i="17"/>
  <c r="H121" i="17"/>
  <c r="I121" i="17"/>
  <c r="J121" i="17"/>
  <c r="K121" i="17"/>
  <c r="L121" i="17"/>
  <c r="M121" i="17"/>
  <c r="D122" i="17"/>
  <c r="E122" i="17"/>
  <c r="F122" i="17"/>
  <c r="G122" i="17"/>
  <c r="H122" i="17"/>
  <c r="I122" i="17"/>
  <c r="J122" i="17"/>
  <c r="K122" i="17"/>
  <c r="L122" i="17"/>
  <c r="M122" i="17"/>
  <c r="D123" i="17"/>
  <c r="E123" i="17"/>
  <c r="F123" i="17"/>
  <c r="G123" i="17"/>
  <c r="H123" i="17"/>
  <c r="I123" i="17"/>
  <c r="J123" i="17"/>
  <c r="K123" i="17"/>
  <c r="L123" i="17"/>
  <c r="M123" i="17"/>
  <c r="D124" i="17"/>
  <c r="E124" i="17"/>
  <c r="F124" i="17"/>
  <c r="G124" i="17"/>
  <c r="H124" i="17"/>
  <c r="I124" i="17"/>
  <c r="J124" i="17"/>
  <c r="K124" i="17"/>
  <c r="L124" i="17"/>
  <c r="M124" i="17"/>
  <c r="D125" i="17"/>
  <c r="E125" i="17"/>
  <c r="F125" i="17"/>
  <c r="G125" i="17"/>
  <c r="H125" i="17"/>
  <c r="I125" i="17"/>
  <c r="J125" i="17"/>
  <c r="K125" i="17"/>
  <c r="L125" i="17"/>
  <c r="M125" i="17"/>
  <c r="D126" i="17"/>
  <c r="E126" i="17"/>
  <c r="F126" i="17"/>
  <c r="G126" i="17"/>
  <c r="H126" i="17"/>
  <c r="I126" i="17"/>
  <c r="J126" i="17"/>
  <c r="K126" i="17"/>
  <c r="L126" i="17"/>
  <c r="M126" i="17"/>
  <c r="D127" i="17"/>
  <c r="E127" i="17"/>
  <c r="F127" i="17"/>
  <c r="G127" i="17"/>
  <c r="H127" i="17"/>
  <c r="I127" i="17"/>
  <c r="J127" i="17"/>
  <c r="K127" i="17"/>
  <c r="L127" i="17"/>
  <c r="M127" i="17"/>
  <c r="D128" i="17"/>
  <c r="E128" i="17"/>
  <c r="F128" i="17"/>
  <c r="G128" i="17"/>
  <c r="H128" i="17"/>
  <c r="I128" i="17"/>
  <c r="J128" i="17"/>
  <c r="K128" i="17"/>
  <c r="L128" i="17"/>
  <c r="M128" i="17"/>
  <c r="D129" i="17"/>
  <c r="E129" i="17"/>
  <c r="F129" i="17"/>
  <c r="G129" i="17"/>
  <c r="H129" i="17"/>
  <c r="I129" i="17"/>
  <c r="J129" i="17"/>
  <c r="K129" i="17"/>
  <c r="L129" i="17"/>
  <c r="M129" i="17"/>
  <c r="D130" i="17"/>
  <c r="E130" i="17"/>
  <c r="F130" i="17"/>
  <c r="G130" i="17"/>
  <c r="H130" i="17"/>
  <c r="I130" i="17"/>
  <c r="J130" i="17"/>
  <c r="K130" i="17"/>
  <c r="L130" i="17"/>
  <c r="M130" i="17"/>
  <c r="D131" i="17"/>
  <c r="E131" i="17"/>
  <c r="F131" i="17"/>
  <c r="G131" i="17"/>
  <c r="H131" i="17"/>
  <c r="I131" i="17"/>
  <c r="J131" i="17"/>
  <c r="K131" i="17"/>
  <c r="L131" i="17"/>
  <c r="M131" i="17"/>
  <c r="D132" i="17"/>
  <c r="E132" i="17"/>
  <c r="F132" i="17"/>
  <c r="G132" i="17"/>
  <c r="H132" i="17"/>
  <c r="I132" i="17"/>
  <c r="J132" i="17"/>
  <c r="K132" i="17"/>
  <c r="L132" i="17"/>
  <c r="M132" i="17"/>
  <c r="D133" i="17"/>
  <c r="E133" i="17"/>
  <c r="F133" i="17"/>
  <c r="G133" i="17"/>
  <c r="H133" i="17"/>
  <c r="I133" i="17"/>
  <c r="J133" i="17"/>
  <c r="K133" i="17"/>
  <c r="L133" i="17"/>
  <c r="M133" i="17"/>
  <c r="D134" i="17"/>
  <c r="E134" i="17"/>
  <c r="F134" i="17"/>
  <c r="G134" i="17"/>
  <c r="H134" i="17"/>
  <c r="I134" i="17"/>
  <c r="J134" i="17"/>
  <c r="K134" i="17"/>
  <c r="L134" i="17"/>
  <c r="M134" i="17"/>
  <c r="D135" i="17"/>
  <c r="E135" i="17"/>
  <c r="F135" i="17"/>
  <c r="G135" i="17"/>
  <c r="H135" i="17"/>
  <c r="I135" i="17"/>
  <c r="J135" i="17"/>
  <c r="K135" i="17"/>
  <c r="L135" i="17"/>
  <c r="M135" i="17"/>
  <c r="D136" i="17"/>
  <c r="E136" i="17"/>
  <c r="F136" i="17"/>
  <c r="G136" i="17"/>
  <c r="H136" i="17"/>
  <c r="I136" i="17"/>
  <c r="J136" i="17"/>
  <c r="K136" i="17"/>
  <c r="L136" i="17"/>
  <c r="M136" i="17"/>
  <c r="D137" i="17"/>
  <c r="E137" i="17"/>
  <c r="F137" i="17"/>
  <c r="G137" i="17"/>
  <c r="H137" i="17"/>
  <c r="I137" i="17"/>
  <c r="J137" i="17"/>
  <c r="K137" i="17"/>
  <c r="L137" i="17"/>
  <c r="M137" i="17"/>
  <c r="D138" i="17"/>
  <c r="E138" i="17"/>
  <c r="F138" i="17"/>
  <c r="G138" i="17"/>
  <c r="H138" i="17"/>
  <c r="I138" i="17"/>
  <c r="J138" i="17"/>
  <c r="K138" i="17"/>
  <c r="L138" i="17"/>
  <c r="M138" i="17"/>
  <c r="E5" i="17"/>
  <c r="F5" i="17"/>
  <c r="G5" i="17"/>
  <c r="H5" i="17"/>
  <c r="I5" i="17"/>
  <c r="J5" i="17"/>
  <c r="K5" i="17"/>
  <c r="L5" i="17"/>
  <c r="M5" i="17"/>
  <c r="D5" i="17"/>
  <c r="C9" i="16"/>
  <c r="C5" i="16"/>
  <c r="N13" i="17" l="1"/>
  <c r="N6" i="17"/>
  <c r="N7" i="17"/>
  <c r="N8" i="17"/>
  <c r="N9" i="17"/>
  <c r="N10" i="17"/>
  <c r="N11" i="17"/>
  <c r="N12" i="17"/>
  <c r="N14" i="17"/>
  <c r="N15" i="17"/>
  <c r="N16" i="17"/>
  <c r="N17" i="17"/>
  <c r="N18" i="17"/>
  <c r="N19" i="17"/>
  <c r="N20" i="17"/>
  <c r="N21" i="17"/>
  <c r="N22" i="17"/>
  <c r="N23" i="17"/>
  <c r="N24" i="17"/>
  <c r="N25" i="17"/>
  <c r="N26" i="17"/>
  <c r="N27" i="17"/>
  <c r="N28" i="17"/>
  <c r="N29" i="17"/>
  <c r="N30" i="17"/>
  <c r="N31" i="17"/>
  <c r="N32" i="17"/>
  <c r="N33" i="17"/>
  <c r="N34" i="17"/>
  <c r="N35" i="17"/>
  <c r="N36" i="17"/>
  <c r="N37" i="17"/>
  <c r="N38" i="17"/>
  <c r="N39" i="17"/>
  <c r="N40" i="17"/>
  <c r="N41" i="17"/>
  <c r="N42" i="17"/>
  <c r="N43" i="17"/>
  <c r="N44" i="17"/>
  <c r="N45" i="17"/>
  <c r="N46" i="17"/>
  <c r="N47" i="17"/>
  <c r="N48" i="17"/>
  <c r="N49" i="17"/>
  <c r="N50" i="17"/>
  <c r="N51" i="17"/>
  <c r="N52" i="17"/>
  <c r="N53" i="17"/>
  <c r="N54" i="17"/>
  <c r="N55" i="17"/>
  <c r="N56" i="17"/>
  <c r="N57" i="17"/>
  <c r="N58" i="17"/>
  <c r="N59" i="17"/>
  <c r="N60" i="17"/>
  <c r="N61" i="17"/>
  <c r="N62" i="17"/>
  <c r="N63" i="17"/>
  <c r="N64" i="17"/>
  <c r="N65" i="17"/>
  <c r="N66" i="17"/>
  <c r="N67" i="17"/>
  <c r="N68" i="17"/>
  <c r="N69" i="17"/>
  <c r="N70" i="17"/>
  <c r="N71" i="17"/>
  <c r="N72" i="17"/>
  <c r="N73" i="17"/>
  <c r="N74" i="17"/>
  <c r="N75" i="17"/>
  <c r="N76" i="17"/>
  <c r="N77" i="17"/>
  <c r="N78" i="17"/>
  <c r="N79" i="17"/>
  <c r="N80" i="17"/>
  <c r="N81" i="17"/>
  <c r="N82" i="17"/>
  <c r="N83" i="17"/>
  <c r="N84" i="17"/>
  <c r="N85" i="17"/>
  <c r="N86" i="17"/>
  <c r="N87" i="17"/>
  <c r="N88" i="17"/>
  <c r="N89" i="17"/>
  <c r="N90" i="17"/>
  <c r="N91" i="17"/>
  <c r="N92" i="17"/>
  <c r="N93" i="17"/>
  <c r="N94" i="17"/>
  <c r="N95" i="17"/>
  <c r="N96" i="17"/>
  <c r="N97" i="17"/>
  <c r="N98" i="17"/>
  <c r="N99" i="17"/>
  <c r="N100" i="17"/>
  <c r="N101" i="17"/>
  <c r="N102" i="17"/>
  <c r="N103" i="17"/>
  <c r="N104" i="17"/>
  <c r="N105" i="17"/>
  <c r="N106" i="17"/>
  <c r="N107" i="17"/>
  <c r="N108" i="17"/>
  <c r="N109" i="17"/>
  <c r="N110" i="17"/>
  <c r="N111" i="17"/>
  <c r="N112" i="17"/>
  <c r="N113" i="17"/>
  <c r="N114" i="17"/>
  <c r="N115" i="17"/>
  <c r="N116" i="17"/>
  <c r="N117" i="17"/>
  <c r="N118" i="17"/>
  <c r="N119" i="17"/>
  <c r="N120" i="17"/>
  <c r="N121" i="17"/>
  <c r="N122" i="17"/>
  <c r="N123" i="17"/>
  <c r="N124" i="17"/>
  <c r="N125" i="17"/>
  <c r="N126" i="17"/>
  <c r="N127" i="17"/>
  <c r="N128" i="17"/>
  <c r="N129" i="17"/>
  <c r="N130" i="17"/>
  <c r="N131" i="17"/>
  <c r="N132" i="17"/>
  <c r="N133" i="17"/>
  <c r="N134" i="17"/>
  <c r="N135" i="17"/>
  <c r="N136" i="17"/>
  <c r="N137" i="17"/>
  <c r="N138" i="17"/>
  <c r="N5" i="17"/>
  <c r="B6" i="17"/>
  <c r="C6" i="17"/>
  <c r="B7" i="17"/>
  <c r="C7" i="17"/>
  <c r="B8" i="17"/>
  <c r="C8" i="17"/>
  <c r="B9" i="17"/>
  <c r="C9" i="17"/>
  <c r="B10" i="17"/>
  <c r="C10" i="17"/>
  <c r="B11" i="17"/>
  <c r="C11" i="17"/>
  <c r="B12" i="17"/>
  <c r="C12" i="17"/>
  <c r="B13" i="17"/>
  <c r="C13" i="17"/>
  <c r="B14" i="17"/>
  <c r="C14" i="17"/>
  <c r="B15" i="17"/>
  <c r="C15" i="17"/>
  <c r="B16" i="17"/>
  <c r="C16" i="17"/>
  <c r="B17" i="17"/>
  <c r="C17" i="17"/>
  <c r="B18" i="17"/>
  <c r="C18" i="17"/>
  <c r="B19" i="17"/>
  <c r="C19" i="17"/>
  <c r="B20" i="17"/>
  <c r="C20" i="17"/>
  <c r="B21" i="17"/>
  <c r="C21" i="17"/>
  <c r="B22" i="17"/>
  <c r="C22" i="17"/>
  <c r="B23" i="17"/>
  <c r="C23" i="17"/>
  <c r="B24" i="17"/>
  <c r="C24" i="17"/>
  <c r="B25" i="17"/>
  <c r="C25" i="17"/>
  <c r="B26" i="17"/>
  <c r="C26" i="17"/>
  <c r="B27" i="17"/>
  <c r="C27" i="17"/>
  <c r="B28" i="17"/>
  <c r="C28" i="17"/>
  <c r="B29" i="17"/>
  <c r="C29" i="17"/>
  <c r="B30" i="17"/>
  <c r="C30" i="17"/>
  <c r="B31" i="17"/>
  <c r="C31" i="17"/>
  <c r="B32" i="17"/>
  <c r="C32" i="17"/>
  <c r="B33" i="17"/>
  <c r="C33" i="17"/>
  <c r="B34" i="17"/>
  <c r="C34" i="17"/>
  <c r="B35" i="17"/>
  <c r="C35" i="17"/>
  <c r="B36" i="17"/>
  <c r="C36" i="17"/>
  <c r="B37" i="17"/>
  <c r="C37" i="17"/>
  <c r="B38" i="17"/>
  <c r="C38" i="17"/>
  <c r="B39" i="17"/>
  <c r="C39" i="17"/>
  <c r="B40" i="17"/>
  <c r="C40" i="17"/>
  <c r="B41" i="17"/>
  <c r="C41" i="17"/>
  <c r="B42" i="17"/>
  <c r="C42" i="17"/>
  <c r="B43" i="17"/>
  <c r="C43" i="17"/>
  <c r="B44" i="17"/>
  <c r="C44" i="17"/>
  <c r="B45" i="17"/>
  <c r="C45" i="17"/>
  <c r="B46" i="17"/>
  <c r="C46" i="17"/>
  <c r="B47" i="17"/>
  <c r="C47" i="17"/>
  <c r="B48" i="17"/>
  <c r="C48" i="17"/>
  <c r="B49" i="17"/>
  <c r="C49" i="17"/>
  <c r="B50" i="17"/>
  <c r="C50" i="17"/>
  <c r="B51" i="17"/>
  <c r="C51" i="17"/>
  <c r="B52" i="17"/>
  <c r="C52" i="17"/>
  <c r="B53" i="17"/>
  <c r="C53" i="17"/>
  <c r="B54" i="17"/>
  <c r="C54" i="17"/>
  <c r="B55" i="17"/>
  <c r="C55" i="17"/>
  <c r="B56" i="17"/>
  <c r="C56" i="17"/>
  <c r="B57" i="17"/>
  <c r="C57" i="17"/>
  <c r="B58" i="17"/>
  <c r="C58" i="17"/>
  <c r="B59" i="17"/>
  <c r="C59" i="17"/>
  <c r="B60" i="17"/>
  <c r="C60" i="17"/>
  <c r="B61" i="17"/>
  <c r="C61" i="17"/>
  <c r="B62" i="17"/>
  <c r="C62" i="17"/>
  <c r="B63" i="17"/>
  <c r="C63" i="17"/>
  <c r="B64" i="17"/>
  <c r="C64" i="17"/>
  <c r="B65" i="17"/>
  <c r="C65" i="17"/>
  <c r="B66" i="17"/>
  <c r="C66" i="17"/>
  <c r="B67" i="17"/>
  <c r="C67" i="17"/>
  <c r="B68" i="17"/>
  <c r="C68" i="17"/>
  <c r="B69" i="17"/>
  <c r="C69" i="17"/>
  <c r="B70" i="17"/>
  <c r="C70" i="17"/>
  <c r="B71" i="17"/>
  <c r="C71" i="17"/>
  <c r="B72" i="17"/>
  <c r="C72" i="17"/>
  <c r="B73" i="17"/>
  <c r="C73" i="17"/>
  <c r="B74" i="17"/>
  <c r="C74" i="17"/>
  <c r="B75" i="17"/>
  <c r="C75" i="17"/>
  <c r="B76" i="17"/>
  <c r="C76" i="17"/>
  <c r="B77" i="17"/>
  <c r="C77" i="17"/>
  <c r="B78" i="17"/>
  <c r="C78" i="17"/>
  <c r="B79" i="17"/>
  <c r="C79" i="17"/>
  <c r="B80" i="17"/>
  <c r="C80" i="17"/>
  <c r="B81" i="17"/>
  <c r="C81" i="17"/>
  <c r="B82" i="17"/>
  <c r="C82" i="17"/>
  <c r="B83" i="17"/>
  <c r="C83" i="17"/>
  <c r="B84" i="17"/>
  <c r="C84" i="17"/>
  <c r="B85" i="17"/>
  <c r="C85" i="17"/>
  <c r="B86" i="17"/>
  <c r="C86" i="17"/>
  <c r="B87" i="17"/>
  <c r="C87" i="17"/>
  <c r="B88" i="17"/>
  <c r="C88" i="17"/>
  <c r="B89" i="17"/>
  <c r="C89" i="17"/>
  <c r="B90" i="17"/>
  <c r="C90" i="17"/>
  <c r="B91" i="17"/>
  <c r="C91" i="17"/>
  <c r="B92" i="17"/>
  <c r="C92" i="17"/>
  <c r="B93" i="17"/>
  <c r="C93" i="17"/>
  <c r="B94" i="17"/>
  <c r="C94" i="17"/>
  <c r="B95" i="17"/>
  <c r="C95" i="17"/>
  <c r="B96" i="17"/>
  <c r="C96" i="17"/>
  <c r="B97" i="17"/>
  <c r="C97" i="17"/>
  <c r="B98" i="17"/>
  <c r="C98" i="17"/>
  <c r="B99" i="17"/>
  <c r="C99" i="17"/>
  <c r="B100" i="17"/>
  <c r="C100" i="17"/>
  <c r="B101" i="17"/>
  <c r="C101" i="17"/>
  <c r="B102" i="17"/>
  <c r="C102" i="17"/>
  <c r="B103" i="17"/>
  <c r="C103" i="17"/>
  <c r="B104" i="17"/>
  <c r="C104" i="17"/>
  <c r="B105" i="17"/>
  <c r="C105" i="17"/>
  <c r="B106" i="17"/>
  <c r="C106" i="17"/>
  <c r="B107" i="17"/>
  <c r="C107" i="17"/>
  <c r="B108" i="17"/>
  <c r="C108" i="17"/>
  <c r="B109" i="17"/>
  <c r="C109" i="17"/>
  <c r="B110" i="17"/>
  <c r="C110" i="17"/>
  <c r="B111" i="17"/>
  <c r="C111" i="17"/>
  <c r="B112" i="17"/>
  <c r="C112" i="17"/>
  <c r="B113" i="17"/>
  <c r="C113" i="17"/>
  <c r="B114" i="17"/>
  <c r="C114" i="17"/>
  <c r="B115" i="17"/>
  <c r="C115" i="17"/>
  <c r="B116" i="17"/>
  <c r="C116" i="17"/>
  <c r="B117" i="17"/>
  <c r="C117" i="17"/>
  <c r="B118" i="17"/>
  <c r="C118" i="17"/>
  <c r="B119" i="17"/>
  <c r="C119" i="17"/>
  <c r="B120" i="17"/>
  <c r="C120" i="17"/>
  <c r="B121" i="17"/>
  <c r="C121" i="17"/>
  <c r="B122" i="17"/>
  <c r="C122" i="17"/>
  <c r="B123" i="17"/>
  <c r="C123" i="17"/>
  <c r="B124" i="17"/>
  <c r="C124" i="17"/>
  <c r="B125" i="17"/>
  <c r="C125" i="17"/>
  <c r="B126" i="17"/>
  <c r="C126" i="17"/>
  <c r="B127" i="17"/>
  <c r="C127" i="17"/>
  <c r="B128" i="17"/>
  <c r="C128" i="17"/>
  <c r="B129" i="17"/>
  <c r="C129" i="17"/>
  <c r="B130" i="17"/>
  <c r="C130" i="17"/>
  <c r="B131" i="17"/>
  <c r="C131" i="17"/>
  <c r="B132" i="17"/>
  <c r="C132" i="17"/>
  <c r="B133" i="17"/>
  <c r="C133" i="17"/>
  <c r="B134" i="17"/>
  <c r="C134" i="17"/>
  <c r="B135" i="17"/>
  <c r="C135" i="17"/>
  <c r="B136" i="17"/>
  <c r="C136" i="17"/>
  <c r="B137" i="17"/>
  <c r="C137" i="17"/>
  <c r="B138" i="17"/>
  <c r="C138" i="17"/>
  <c r="C5" i="17"/>
  <c r="B5" i="17"/>
  <c r="O13" i="16"/>
  <c r="O5" i="16"/>
  <c r="O4" i="16"/>
  <c r="O3" i="16"/>
  <c r="G27" i="10"/>
  <c r="E5" i="16"/>
  <c r="F5" i="16"/>
  <c r="G5" i="16"/>
  <c r="H5" i="16"/>
  <c r="I5" i="16"/>
  <c r="J5" i="16"/>
  <c r="K5" i="16"/>
  <c r="L5" i="16"/>
  <c r="M5" i="16"/>
  <c r="N5" i="16"/>
  <c r="D5" i="16"/>
  <c r="O14" i="16"/>
  <c r="O15" i="16"/>
  <c r="O16" i="16"/>
  <c r="O17" i="16"/>
  <c r="O18" i="16"/>
  <c r="O19" i="16"/>
  <c r="O20" i="16"/>
  <c r="O21" i="16"/>
  <c r="O22" i="16"/>
  <c r="O23" i="16"/>
  <c r="O24" i="16"/>
  <c r="O25" i="16"/>
  <c r="O26" i="16"/>
  <c r="O27" i="16"/>
  <c r="O28" i="16"/>
  <c r="O29" i="16"/>
  <c r="O30" i="16"/>
  <c r="O31" i="16"/>
  <c r="O32" i="16"/>
  <c r="O33" i="16"/>
  <c r="O34" i="16"/>
  <c r="O35" i="16"/>
  <c r="O36" i="16"/>
  <c r="O37" i="16"/>
  <c r="O38" i="16"/>
  <c r="O39" i="16"/>
  <c r="O40" i="16"/>
  <c r="O41" i="16"/>
  <c r="O42" i="16"/>
  <c r="O43" i="16"/>
  <c r="O44" i="16"/>
  <c r="O45" i="16"/>
  <c r="O46" i="16"/>
  <c r="O47" i="16"/>
  <c r="O48" i="16"/>
  <c r="O49" i="16"/>
  <c r="O50" i="16"/>
  <c r="O51" i="16"/>
  <c r="O52" i="16"/>
  <c r="O53" i="16"/>
  <c r="O54" i="16"/>
  <c r="O55" i="16"/>
  <c r="O56" i="16"/>
  <c r="O57" i="16"/>
  <c r="O58" i="16"/>
  <c r="O59" i="16"/>
  <c r="O60" i="16"/>
  <c r="O61" i="16"/>
  <c r="O62" i="16"/>
  <c r="O63" i="16"/>
  <c r="O64" i="16"/>
  <c r="O65" i="16"/>
  <c r="O66" i="16"/>
  <c r="O67" i="16"/>
  <c r="O68" i="16"/>
  <c r="O69" i="16"/>
  <c r="O70" i="16"/>
  <c r="O71" i="16"/>
  <c r="O72" i="16"/>
  <c r="O73" i="16"/>
  <c r="O74" i="16"/>
  <c r="O75" i="16"/>
  <c r="O76" i="16"/>
  <c r="O77" i="16"/>
  <c r="O78" i="16"/>
  <c r="O79" i="16"/>
  <c r="O80" i="16"/>
  <c r="O81" i="16"/>
  <c r="O82" i="16"/>
  <c r="O83" i="16"/>
  <c r="O84" i="16"/>
  <c r="O85" i="16"/>
  <c r="O86" i="16"/>
  <c r="O87" i="16"/>
  <c r="O88" i="16"/>
  <c r="O89" i="16"/>
  <c r="O90" i="16"/>
  <c r="O91" i="16"/>
  <c r="O92" i="16"/>
  <c r="O93" i="16"/>
  <c r="O94" i="16"/>
  <c r="O95" i="16"/>
  <c r="O96" i="16"/>
  <c r="O97" i="16"/>
  <c r="O98" i="16"/>
  <c r="O99" i="16"/>
  <c r="O100" i="16"/>
  <c r="O101" i="16"/>
  <c r="O102" i="16"/>
  <c r="O103" i="16"/>
  <c r="O104" i="16"/>
  <c r="O105" i="16"/>
  <c r="O106" i="16"/>
  <c r="O107" i="16"/>
  <c r="O108" i="16"/>
  <c r="O109" i="16"/>
  <c r="O110" i="16"/>
  <c r="O111" i="16"/>
  <c r="O112" i="16"/>
  <c r="O113" i="16"/>
  <c r="O114" i="16"/>
  <c r="O115" i="16"/>
  <c r="O116" i="16"/>
  <c r="O117" i="16"/>
  <c r="O118" i="16"/>
  <c r="O119" i="16"/>
  <c r="O120" i="16"/>
  <c r="O121" i="16"/>
  <c r="O122" i="16"/>
  <c r="O123" i="16"/>
  <c r="O124" i="16"/>
  <c r="O125" i="16"/>
  <c r="O126" i="16"/>
  <c r="O127" i="16"/>
  <c r="O128" i="16"/>
  <c r="O129" i="16"/>
  <c r="O130" i="16"/>
  <c r="O131" i="16"/>
  <c r="O132" i="16"/>
  <c r="O133" i="16"/>
  <c r="O134" i="16"/>
  <c r="O135" i="16"/>
  <c r="O136" i="16"/>
  <c r="O137" i="16"/>
  <c r="O138" i="16"/>
  <c r="O139" i="16"/>
  <c r="O140" i="16"/>
  <c r="O141" i="16"/>
  <c r="O142" i="16"/>
  <c r="O143" i="16"/>
  <c r="O144" i="16"/>
  <c r="O145" i="16"/>
  <c r="O146" i="16"/>
  <c r="D13" i="16"/>
  <c r="E13" i="16"/>
  <c r="F13" i="16"/>
  <c r="G13" i="16"/>
  <c r="H13" i="16"/>
  <c r="I13" i="16"/>
  <c r="J13" i="16"/>
  <c r="K13" i="16"/>
  <c r="L13" i="16"/>
  <c r="M13" i="16"/>
  <c r="N13" i="16"/>
  <c r="D14" i="16"/>
  <c r="E14" i="16"/>
  <c r="F14" i="16"/>
  <c r="G14" i="16"/>
  <c r="H14" i="16"/>
  <c r="I14" i="16"/>
  <c r="J14" i="16"/>
  <c r="K14" i="16"/>
  <c r="L14" i="16"/>
  <c r="M14" i="16"/>
  <c r="N14" i="16"/>
  <c r="D15" i="16"/>
  <c r="E15" i="16"/>
  <c r="F15" i="16"/>
  <c r="G15" i="16"/>
  <c r="H15" i="16"/>
  <c r="I15" i="16"/>
  <c r="J15" i="16"/>
  <c r="K15" i="16"/>
  <c r="L15" i="16"/>
  <c r="M15" i="16"/>
  <c r="N15" i="16"/>
  <c r="D16" i="16"/>
  <c r="E16" i="16"/>
  <c r="F16" i="16"/>
  <c r="G16" i="16"/>
  <c r="H16" i="16"/>
  <c r="I16" i="16"/>
  <c r="J16" i="16"/>
  <c r="K16" i="16"/>
  <c r="L16" i="16"/>
  <c r="M16" i="16"/>
  <c r="N16" i="16"/>
  <c r="D17" i="16"/>
  <c r="E17" i="16"/>
  <c r="F17" i="16"/>
  <c r="G17" i="16"/>
  <c r="H17" i="16"/>
  <c r="I17" i="16"/>
  <c r="J17" i="16"/>
  <c r="K17" i="16"/>
  <c r="L17" i="16"/>
  <c r="M17" i="16"/>
  <c r="N17" i="16"/>
  <c r="D18" i="16"/>
  <c r="E18" i="16"/>
  <c r="F18" i="16"/>
  <c r="G18" i="16"/>
  <c r="H18" i="16"/>
  <c r="I18" i="16"/>
  <c r="J18" i="16"/>
  <c r="K18" i="16"/>
  <c r="L18" i="16"/>
  <c r="M18" i="16"/>
  <c r="N18" i="16"/>
  <c r="D19" i="16"/>
  <c r="E19" i="16"/>
  <c r="F19" i="16"/>
  <c r="G19" i="16"/>
  <c r="H19" i="16"/>
  <c r="I19" i="16"/>
  <c r="J19" i="16"/>
  <c r="K19" i="16"/>
  <c r="L19" i="16"/>
  <c r="M19" i="16"/>
  <c r="N19" i="16"/>
  <c r="D20" i="16"/>
  <c r="E20" i="16"/>
  <c r="F20" i="16"/>
  <c r="G20" i="16"/>
  <c r="H20" i="16"/>
  <c r="I20" i="16"/>
  <c r="J20" i="16"/>
  <c r="K20" i="16"/>
  <c r="L20" i="16"/>
  <c r="M20" i="16"/>
  <c r="N20" i="16"/>
  <c r="D21" i="16"/>
  <c r="E21" i="16"/>
  <c r="F21" i="16"/>
  <c r="G21" i="16"/>
  <c r="H21" i="16"/>
  <c r="I21" i="16"/>
  <c r="J21" i="16"/>
  <c r="K21" i="16"/>
  <c r="L21" i="16"/>
  <c r="M21" i="16"/>
  <c r="N21" i="16"/>
  <c r="D22" i="16"/>
  <c r="E22" i="16"/>
  <c r="F22" i="16"/>
  <c r="G22" i="16"/>
  <c r="H22" i="16"/>
  <c r="I22" i="16"/>
  <c r="J22" i="16"/>
  <c r="K22" i="16"/>
  <c r="L22" i="16"/>
  <c r="M22" i="16"/>
  <c r="N22" i="16"/>
  <c r="D23" i="16"/>
  <c r="E23" i="16"/>
  <c r="G23" i="16"/>
  <c r="H23" i="16"/>
  <c r="I23" i="16"/>
  <c r="J23" i="16"/>
  <c r="K23" i="16"/>
  <c r="L23" i="16"/>
  <c r="M23" i="16"/>
  <c r="N23" i="16"/>
  <c r="D24" i="16"/>
  <c r="E24" i="16"/>
  <c r="F24" i="16"/>
  <c r="G24" i="16"/>
  <c r="H24" i="16"/>
  <c r="I24" i="16"/>
  <c r="J24" i="16"/>
  <c r="K24" i="16"/>
  <c r="L24" i="16"/>
  <c r="M24" i="16"/>
  <c r="N24" i="16"/>
  <c r="D25" i="16"/>
  <c r="E25" i="16"/>
  <c r="F25" i="16"/>
  <c r="G25" i="16"/>
  <c r="H25" i="16"/>
  <c r="I25" i="16"/>
  <c r="J25" i="16"/>
  <c r="K25" i="16"/>
  <c r="L25" i="16"/>
  <c r="M25" i="16"/>
  <c r="N25" i="16"/>
  <c r="D26" i="16"/>
  <c r="E26" i="16"/>
  <c r="F26" i="16"/>
  <c r="G26" i="16"/>
  <c r="H26" i="16"/>
  <c r="I26" i="16"/>
  <c r="J26" i="16"/>
  <c r="K26" i="16"/>
  <c r="L26" i="16"/>
  <c r="M26" i="16"/>
  <c r="N26" i="16"/>
  <c r="D27" i="16"/>
  <c r="E27" i="16"/>
  <c r="F27" i="16"/>
  <c r="G27" i="16"/>
  <c r="H27" i="16"/>
  <c r="I27" i="16"/>
  <c r="J27" i="16"/>
  <c r="K27" i="16"/>
  <c r="L27" i="16"/>
  <c r="M27" i="16"/>
  <c r="N27" i="16"/>
  <c r="D28" i="16"/>
  <c r="E28" i="16"/>
  <c r="F28" i="16"/>
  <c r="G28" i="16"/>
  <c r="H28" i="16"/>
  <c r="I28" i="16"/>
  <c r="J28" i="16"/>
  <c r="K28" i="16"/>
  <c r="L28" i="16"/>
  <c r="M28" i="16"/>
  <c r="N28" i="16"/>
  <c r="D29" i="16"/>
  <c r="E29" i="16"/>
  <c r="F29" i="16"/>
  <c r="G29" i="16"/>
  <c r="H29" i="16"/>
  <c r="I29" i="16"/>
  <c r="J29" i="16"/>
  <c r="K29" i="16"/>
  <c r="L29" i="16"/>
  <c r="M29" i="16"/>
  <c r="N29" i="16"/>
  <c r="D30" i="16"/>
  <c r="E30" i="16"/>
  <c r="F30" i="16"/>
  <c r="G30" i="16"/>
  <c r="H30" i="16"/>
  <c r="I30" i="16"/>
  <c r="J30" i="16"/>
  <c r="K30" i="16"/>
  <c r="L30" i="16"/>
  <c r="M30" i="16"/>
  <c r="N30" i="16"/>
  <c r="D31" i="16"/>
  <c r="E31" i="16"/>
  <c r="F31" i="16"/>
  <c r="G31" i="16"/>
  <c r="H31" i="16"/>
  <c r="I31" i="16"/>
  <c r="J31" i="16"/>
  <c r="K31" i="16"/>
  <c r="L31" i="16"/>
  <c r="M31" i="16"/>
  <c r="N31" i="16"/>
  <c r="D32" i="16"/>
  <c r="E32" i="16"/>
  <c r="F32" i="16"/>
  <c r="G32" i="16"/>
  <c r="H32" i="16"/>
  <c r="I32" i="16"/>
  <c r="J32" i="16"/>
  <c r="K32" i="16"/>
  <c r="L32" i="16"/>
  <c r="M32" i="16"/>
  <c r="N32" i="16"/>
  <c r="D33" i="16"/>
  <c r="E33" i="16"/>
  <c r="F33" i="16"/>
  <c r="G33" i="16"/>
  <c r="H33" i="16"/>
  <c r="I33" i="16"/>
  <c r="J33" i="16"/>
  <c r="K33" i="16"/>
  <c r="L33" i="16"/>
  <c r="M33" i="16"/>
  <c r="N33" i="16"/>
  <c r="D34" i="16"/>
  <c r="E34" i="16"/>
  <c r="F34" i="16"/>
  <c r="G34" i="16"/>
  <c r="H34" i="16"/>
  <c r="I34" i="16"/>
  <c r="J34" i="16"/>
  <c r="K34" i="16"/>
  <c r="L34" i="16"/>
  <c r="M34" i="16"/>
  <c r="N34" i="16"/>
  <c r="D35" i="16"/>
  <c r="E35" i="16"/>
  <c r="F35" i="16"/>
  <c r="G35" i="16"/>
  <c r="H35" i="16"/>
  <c r="I35" i="16"/>
  <c r="J35" i="16"/>
  <c r="K35" i="16"/>
  <c r="L35" i="16"/>
  <c r="M35" i="16"/>
  <c r="N35" i="16"/>
  <c r="D36" i="16"/>
  <c r="E36" i="16"/>
  <c r="F36" i="16"/>
  <c r="G36" i="16"/>
  <c r="H36" i="16"/>
  <c r="I36" i="16"/>
  <c r="J36" i="16"/>
  <c r="K36" i="16"/>
  <c r="L36" i="16"/>
  <c r="M36" i="16"/>
  <c r="N36" i="16"/>
  <c r="D37" i="16"/>
  <c r="E37" i="16"/>
  <c r="F37" i="16"/>
  <c r="G37" i="16"/>
  <c r="H37" i="16"/>
  <c r="I37" i="16"/>
  <c r="J37" i="16"/>
  <c r="K37" i="16"/>
  <c r="L37" i="16"/>
  <c r="M37" i="16"/>
  <c r="N37" i="16"/>
  <c r="D38" i="16"/>
  <c r="E38" i="16"/>
  <c r="F38" i="16"/>
  <c r="G38" i="16"/>
  <c r="H38" i="16"/>
  <c r="I38" i="16"/>
  <c r="J38" i="16"/>
  <c r="K38" i="16"/>
  <c r="L38" i="16"/>
  <c r="M38" i="16"/>
  <c r="N38" i="16"/>
  <c r="D39" i="16"/>
  <c r="E39" i="16"/>
  <c r="F39" i="16"/>
  <c r="G39" i="16"/>
  <c r="H39" i="16"/>
  <c r="I39" i="16"/>
  <c r="J39" i="16"/>
  <c r="K39" i="16"/>
  <c r="L39" i="16"/>
  <c r="M39" i="16"/>
  <c r="N39" i="16"/>
  <c r="D40" i="16"/>
  <c r="E40" i="16"/>
  <c r="F40" i="16"/>
  <c r="G40" i="16"/>
  <c r="H40" i="16"/>
  <c r="I40" i="16"/>
  <c r="J40" i="16"/>
  <c r="K40" i="16"/>
  <c r="L40" i="16"/>
  <c r="M40" i="16"/>
  <c r="N40" i="16"/>
  <c r="D41" i="16"/>
  <c r="E41" i="16"/>
  <c r="F41" i="16"/>
  <c r="G41" i="16"/>
  <c r="H41" i="16"/>
  <c r="I41" i="16"/>
  <c r="J41" i="16"/>
  <c r="K41" i="16"/>
  <c r="L41" i="16"/>
  <c r="M41" i="16"/>
  <c r="N41" i="16"/>
  <c r="D42" i="16"/>
  <c r="E42" i="16"/>
  <c r="F42" i="16"/>
  <c r="G42" i="16"/>
  <c r="H42" i="16"/>
  <c r="I42" i="16"/>
  <c r="J42" i="16"/>
  <c r="K42" i="16"/>
  <c r="L42" i="16"/>
  <c r="M42" i="16"/>
  <c r="N42" i="16"/>
  <c r="D43" i="16"/>
  <c r="E43" i="16"/>
  <c r="F43" i="16"/>
  <c r="G43" i="16"/>
  <c r="H43" i="16"/>
  <c r="I43" i="16"/>
  <c r="J43" i="16"/>
  <c r="K43" i="16"/>
  <c r="L43" i="16"/>
  <c r="M43" i="16"/>
  <c r="N43" i="16"/>
  <c r="D44" i="16"/>
  <c r="E44" i="16"/>
  <c r="F44" i="16"/>
  <c r="G44" i="16"/>
  <c r="H44" i="16"/>
  <c r="I44" i="16"/>
  <c r="J44" i="16"/>
  <c r="K44" i="16"/>
  <c r="L44" i="16"/>
  <c r="M44" i="16"/>
  <c r="N44" i="16"/>
  <c r="D45" i="16"/>
  <c r="E45" i="16"/>
  <c r="F45" i="16"/>
  <c r="G45" i="16"/>
  <c r="H45" i="16"/>
  <c r="I45" i="16"/>
  <c r="J45" i="16"/>
  <c r="K45" i="16"/>
  <c r="L45" i="16"/>
  <c r="M45" i="16"/>
  <c r="N45" i="16"/>
  <c r="D46" i="16"/>
  <c r="E46" i="16"/>
  <c r="F46" i="16"/>
  <c r="G46" i="16"/>
  <c r="H46" i="16"/>
  <c r="I46" i="16"/>
  <c r="J46" i="16"/>
  <c r="K46" i="16"/>
  <c r="L46" i="16"/>
  <c r="M46" i="16"/>
  <c r="N46" i="16"/>
  <c r="D47" i="16"/>
  <c r="E47" i="16"/>
  <c r="F47" i="16"/>
  <c r="G47" i="16"/>
  <c r="H47" i="16"/>
  <c r="I47" i="16"/>
  <c r="J47" i="16"/>
  <c r="K47" i="16"/>
  <c r="L47" i="16"/>
  <c r="M47" i="16"/>
  <c r="N47" i="16"/>
  <c r="D48" i="16"/>
  <c r="E48" i="16"/>
  <c r="F48" i="16"/>
  <c r="G48" i="16"/>
  <c r="H48" i="16"/>
  <c r="I48" i="16"/>
  <c r="J48" i="16"/>
  <c r="K48" i="16"/>
  <c r="L48" i="16"/>
  <c r="M48" i="16"/>
  <c r="N48" i="16"/>
  <c r="D49" i="16"/>
  <c r="E49" i="16"/>
  <c r="F49" i="16"/>
  <c r="G49" i="16"/>
  <c r="H49" i="16"/>
  <c r="I49" i="16"/>
  <c r="J49" i="16"/>
  <c r="K49" i="16"/>
  <c r="L49" i="16"/>
  <c r="M49" i="16"/>
  <c r="N49" i="16"/>
  <c r="D50" i="16"/>
  <c r="E50" i="16"/>
  <c r="F50" i="16"/>
  <c r="G50" i="16"/>
  <c r="H50" i="16"/>
  <c r="I50" i="16"/>
  <c r="J50" i="16"/>
  <c r="K50" i="16"/>
  <c r="L50" i="16"/>
  <c r="M50" i="16"/>
  <c r="N50" i="16"/>
  <c r="D51" i="16"/>
  <c r="E51" i="16"/>
  <c r="F51" i="16"/>
  <c r="G51" i="16"/>
  <c r="H51" i="16"/>
  <c r="I51" i="16"/>
  <c r="J51" i="16"/>
  <c r="K51" i="16"/>
  <c r="L51" i="16"/>
  <c r="M51" i="16"/>
  <c r="N51" i="16"/>
  <c r="D52" i="16"/>
  <c r="E52" i="16"/>
  <c r="F52" i="16"/>
  <c r="G52" i="16"/>
  <c r="H52" i="16"/>
  <c r="I52" i="16"/>
  <c r="J52" i="16"/>
  <c r="K52" i="16"/>
  <c r="L52" i="16"/>
  <c r="M52" i="16"/>
  <c r="N52" i="16"/>
  <c r="D53" i="16"/>
  <c r="E53" i="16"/>
  <c r="F53" i="16"/>
  <c r="G53" i="16"/>
  <c r="H53" i="16"/>
  <c r="I53" i="16"/>
  <c r="J53" i="16"/>
  <c r="K53" i="16"/>
  <c r="L53" i="16"/>
  <c r="M53" i="16"/>
  <c r="N53" i="16"/>
  <c r="D54" i="16"/>
  <c r="E54" i="16"/>
  <c r="F54" i="16"/>
  <c r="G54" i="16"/>
  <c r="H54" i="16"/>
  <c r="I54" i="16"/>
  <c r="J54" i="16"/>
  <c r="K54" i="16"/>
  <c r="L54" i="16"/>
  <c r="M54" i="16"/>
  <c r="N54" i="16"/>
  <c r="D55" i="16"/>
  <c r="E55" i="16"/>
  <c r="F55" i="16"/>
  <c r="G55" i="16"/>
  <c r="H55" i="16"/>
  <c r="I55" i="16"/>
  <c r="J55" i="16"/>
  <c r="K55" i="16"/>
  <c r="L55" i="16"/>
  <c r="M55" i="16"/>
  <c r="N55" i="16"/>
  <c r="D56" i="16"/>
  <c r="E56" i="16"/>
  <c r="F56" i="16"/>
  <c r="G56" i="16"/>
  <c r="H56" i="16"/>
  <c r="I56" i="16"/>
  <c r="J56" i="16"/>
  <c r="K56" i="16"/>
  <c r="L56" i="16"/>
  <c r="M56" i="16"/>
  <c r="N56" i="16"/>
  <c r="D57" i="16"/>
  <c r="E57" i="16"/>
  <c r="F57" i="16"/>
  <c r="G57" i="16"/>
  <c r="H57" i="16"/>
  <c r="I57" i="16"/>
  <c r="J57" i="16"/>
  <c r="K57" i="16"/>
  <c r="L57" i="16"/>
  <c r="M57" i="16"/>
  <c r="N57" i="16"/>
  <c r="D58" i="16"/>
  <c r="E58" i="16"/>
  <c r="F58" i="16"/>
  <c r="G58" i="16"/>
  <c r="H58" i="16"/>
  <c r="I58" i="16"/>
  <c r="J58" i="16"/>
  <c r="K58" i="16"/>
  <c r="L58" i="16"/>
  <c r="M58" i="16"/>
  <c r="N58" i="16"/>
  <c r="D59" i="16"/>
  <c r="E59" i="16"/>
  <c r="F59" i="16"/>
  <c r="G59" i="16"/>
  <c r="H59" i="16"/>
  <c r="I59" i="16"/>
  <c r="J59" i="16"/>
  <c r="K59" i="16"/>
  <c r="L59" i="16"/>
  <c r="M59" i="16"/>
  <c r="N59" i="16"/>
  <c r="D60" i="16"/>
  <c r="E60" i="16"/>
  <c r="F60" i="16"/>
  <c r="G60" i="16"/>
  <c r="H60" i="16"/>
  <c r="I60" i="16"/>
  <c r="J60" i="16"/>
  <c r="K60" i="16"/>
  <c r="L60" i="16"/>
  <c r="M60" i="16"/>
  <c r="N60" i="16"/>
  <c r="D61" i="16"/>
  <c r="E61" i="16"/>
  <c r="F61" i="16"/>
  <c r="G61" i="16"/>
  <c r="H61" i="16"/>
  <c r="I61" i="16"/>
  <c r="J61" i="16"/>
  <c r="K61" i="16"/>
  <c r="L61" i="16"/>
  <c r="M61" i="16"/>
  <c r="N61" i="16"/>
  <c r="D62" i="16"/>
  <c r="E62" i="16"/>
  <c r="F62" i="16"/>
  <c r="G62" i="16"/>
  <c r="H62" i="16"/>
  <c r="I62" i="16"/>
  <c r="J62" i="16"/>
  <c r="K62" i="16"/>
  <c r="L62" i="16"/>
  <c r="M62" i="16"/>
  <c r="N62" i="16"/>
  <c r="D63" i="16"/>
  <c r="E63" i="16"/>
  <c r="F63" i="16"/>
  <c r="G63" i="16"/>
  <c r="H63" i="16"/>
  <c r="I63" i="16"/>
  <c r="J63" i="16"/>
  <c r="K63" i="16"/>
  <c r="L63" i="16"/>
  <c r="M63" i="16"/>
  <c r="N63" i="16"/>
  <c r="D64" i="16"/>
  <c r="E64" i="16"/>
  <c r="F64" i="16"/>
  <c r="G64" i="16"/>
  <c r="H64" i="16"/>
  <c r="I64" i="16"/>
  <c r="J64" i="16"/>
  <c r="K64" i="16"/>
  <c r="L64" i="16"/>
  <c r="M64" i="16"/>
  <c r="N64" i="16"/>
  <c r="D65" i="16"/>
  <c r="E65" i="16"/>
  <c r="F65" i="16"/>
  <c r="G65" i="16"/>
  <c r="H65" i="16"/>
  <c r="I65" i="16"/>
  <c r="J65" i="16"/>
  <c r="K65" i="16"/>
  <c r="L65" i="16"/>
  <c r="M65" i="16"/>
  <c r="N65" i="16"/>
  <c r="D66" i="16"/>
  <c r="E66" i="16"/>
  <c r="F66" i="16"/>
  <c r="G66" i="16"/>
  <c r="H66" i="16"/>
  <c r="I66" i="16"/>
  <c r="J66" i="16"/>
  <c r="K66" i="16"/>
  <c r="L66" i="16"/>
  <c r="M66" i="16"/>
  <c r="N66" i="16"/>
  <c r="D67" i="16"/>
  <c r="E67" i="16"/>
  <c r="F67" i="16"/>
  <c r="G67" i="16"/>
  <c r="H67" i="16"/>
  <c r="I67" i="16"/>
  <c r="J67" i="16"/>
  <c r="K67" i="16"/>
  <c r="L67" i="16"/>
  <c r="M67" i="16"/>
  <c r="N67" i="16"/>
  <c r="D68" i="16"/>
  <c r="E68" i="16"/>
  <c r="F68" i="16"/>
  <c r="G68" i="16"/>
  <c r="H68" i="16"/>
  <c r="I68" i="16"/>
  <c r="J68" i="16"/>
  <c r="K68" i="16"/>
  <c r="L68" i="16"/>
  <c r="M68" i="16"/>
  <c r="N68" i="16"/>
  <c r="D69" i="16"/>
  <c r="E69" i="16"/>
  <c r="F69" i="16"/>
  <c r="G69" i="16"/>
  <c r="H69" i="16"/>
  <c r="I69" i="16"/>
  <c r="J69" i="16"/>
  <c r="K69" i="16"/>
  <c r="L69" i="16"/>
  <c r="M69" i="16"/>
  <c r="N69" i="16"/>
  <c r="D70" i="16"/>
  <c r="E70" i="16"/>
  <c r="F70" i="16"/>
  <c r="G70" i="16"/>
  <c r="H70" i="16"/>
  <c r="I70" i="16"/>
  <c r="J70" i="16"/>
  <c r="K70" i="16"/>
  <c r="L70" i="16"/>
  <c r="M70" i="16"/>
  <c r="N70" i="16"/>
  <c r="D71" i="16"/>
  <c r="E71" i="16"/>
  <c r="F71" i="16"/>
  <c r="G71" i="16"/>
  <c r="H71" i="16"/>
  <c r="I71" i="16"/>
  <c r="J71" i="16"/>
  <c r="K71" i="16"/>
  <c r="L71" i="16"/>
  <c r="M71" i="16"/>
  <c r="N71" i="16"/>
  <c r="D72" i="16"/>
  <c r="E72" i="16"/>
  <c r="F72" i="16"/>
  <c r="G72" i="16"/>
  <c r="H72" i="16"/>
  <c r="I72" i="16"/>
  <c r="J72" i="16"/>
  <c r="K72" i="16"/>
  <c r="L72" i="16"/>
  <c r="M72" i="16"/>
  <c r="N72" i="16"/>
  <c r="D73" i="16"/>
  <c r="E73" i="16"/>
  <c r="F73" i="16"/>
  <c r="G73" i="16"/>
  <c r="H73" i="16"/>
  <c r="I73" i="16"/>
  <c r="J73" i="16"/>
  <c r="K73" i="16"/>
  <c r="L73" i="16"/>
  <c r="M73" i="16"/>
  <c r="N73" i="16"/>
  <c r="D74" i="16"/>
  <c r="E74" i="16"/>
  <c r="F74" i="16"/>
  <c r="G74" i="16"/>
  <c r="H74" i="16"/>
  <c r="I74" i="16"/>
  <c r="J74" i="16"/>
  <c r="K74" i="16"/>
  <c r="L74" i="16"/>
  <c r="M74" i="16"/>
  <c r="N74" i="16"/>
  <c r="D75" i="16"/>
  <c r="E75" i="16"/>
  <c r="F75" i="16"/>
  <c r="G75" i="16"/>
  <c r="H75" i="16"/>
  <c r="I75" i="16"/>
  <c r="J75" i="16"/>
  <c r="K75" i="16"/>
  <c r="L75" i="16"/>
  <c r="M75" i="16"/>
  <c r="N75" i="16"/>
  <c r="D76" i="16"/>
  <c r="E76" i="16"/>
  <c r="F76" i="16"/>
  <c r="G76" i="16"/>
  <c r="H76" i="16"/>
  <c r="I76" i="16"/>
  <c r="J76" i="16"/>
  <c r="K76" i="16"/>
  <c r="L76" i="16"/>
  <c r="M76" i="16"/>
  <c r="N76" i="16"/>
  <c r="D77" i="16"/>
  <c r="E77" i="16"/>
  <c r="F77" i="16"/>
  <c r="G77" i="16"/>
  <c r="H77" i="16"/>
  <c r="I77" i="16"/>
  <c r="J77" i="16"/>
  <c r="K77" i="16"/>
  <c r="L77" i="16"/>
  <c r="M77" i="16"/>
  <c r="N77" i="16"/>
  <c r="D78" i="16"/>
  <c r="E78" i="16"/>
  <c r="F78" i="16"/>
  <c r="G78" i="16"/>
  <c r="H78" i="16"/>
  <c r="I78" i="16"/>
  <c r="J78" i="16"/>
  <c r="K78" i="16"/>
  <c r="L78" i="16"/>
  <c r="M78" i="16"/>
  <c r="N78" i="16"/>
  <c r="D79" i="16"/>
  <c r="E79" i="16"/>
  <c r="F79" i="16"/>
  <c r="G79" i="16"/>
  <c r="H79" i="16"/>
  <c r="I79" i="16"/>
  <c r="J79" i="16"/>
  <c r="K79" i="16"/>
  <c r="L79" i="16"/>
  <c r="M79" i="16"/>
  <c r="N79" i="16"/>
  <c r="D80" i="16"/>
  <c r="E80" i="16"/>
  <c r="F80" i="16"/>
  <c r="G80" i="16"/>
  <c r="H80" i="16"/>
  <c r="I80" i="16"/>
  <c r="J80" i="16"/>
  <c r="K80" i="16"/>
  <c r="L80" i="16"/>
  <c r="M80" i="16"/>
  <c r="N80" i="16"/>
  <c r="D81" i="16"/>
  <c r="E81" i="16"/>
  <c r="F81" i="16"/>
  <c r="G81" i="16"/>
  <c r="H81" i="16"/>
  <c r="I81" i="16"/>
  <c r="J81" i="16"/>
  <c r="K81" i="16"/>
  <c r="L81" i="16"/>
  <c r="M81" i="16"/>
  <c r="N81" i="16"/>
  <c r="D82" i="16"/>
  <c r="E82" i="16"/>
  <c r="F82" i="16"/>
  <c r="G82" i="16"/>
  <c r="H82" i="16"/>
  <c r="I82" i="16"/>
  <c r="J82" i="16"/>
  <c r="K82" i="16"/>
  <c r="L82" i="16"/>
  <c r="M82" i="16"/>
  <c r="N82" i="16"/>
  <c r="D83" i="16"/>
  <c r="E83" i="16"/>
  <c r="F83" i="16"/>
  <c r="G83" i="16"/>
  <c r="H83" i="16"/>
  <c r="I83" i="16"/>
  <c r="J83" i="16"/>
  <c r="K83" i="16"/>
  <c r="L83" i="16"/>
  <c r="M83" i="16"/>
  <c r="N83" i="16"/>
  <c r="D84" i="16"/>
  <c r="E84" i="16"/>
  <c r="F84" i="16"/>
  <c r="G84" i="16"/>
  <c r="H84" i="16"/>
  <c r="I84" i="16"/>
  <c r="J84" i="16"/>
  <c r="K84" i="16"/>
  <c r="L84" i="16"/>
  <c r="M84" i="16"/>
  <c r="N84" i="16"/>
  <c r="D85" i="16"/>
  <c r="E85" i="16"/>
  <c r="F85" i="16"/>
  <c r="G85" i="16"/>
  <c r="H85" i="16"/>
  <c r="I85" i="16"/>
  <c r="J85" i="16"/>
  <c r="K85" i="16"/>
  <c r="L85" i="16"/>
  <c r="M85" i="16"/>
  <c r="N85" i="16"/>
  <c r="D86" i="16"/>
  <c r="E86" i="16"/>
  <c r="F86" i="16"/>
  <c r="G86" i="16"/>
  <c r="H86" i="16"/>
  <c r="I86" i="16"/>
  <c r="J86" i="16"/>
  <c r="K86" i="16"/>
  <c r="L86" i="16"/>
  <c r="M86" i="16"/>
  <c r="N86" i="16"/>
  <c r="D87" i="16"/>
  <c r="E87" i="16"/>
  <c r="F87" i="16"/>
  <c r="G87" i="16"/>
  <c r="H87" i="16"/>
  <c r="I87" i="16"/>
  <c r="J87" i="16"/>
  <c r="K87" i="16"/>
  <c r="L87" i="16"/>
  <c r="M87" i="16"/>
  <c r="N87" i="16"/>
  <c r="D88" i="16"/>
  <c r="E88" i="16"/>
  <c r="F88" i="16"/>
  <c r="G88" i="16"/>
  <c r="H88" i="16"/>
  <c r="I88" i="16"/>
  <c r="J88" i="16"/>
  <c r="K88" i="16"/>
  <c r="L88" i="16"/>
  <c r="M88" i="16"/>
  <c r="N88" i="16"/>
  <c r="D89" i="16"/>
  <c r="E89" i="16"/>
  <c r="F89" i="16"/>
  <c r="G89" i="16"/>
  <c r="H89" i="16"/>
  <c r="I89" i="16"/>
  <c r="J89" i="16"/>
  <c r="K89" i="16"/>
  <c r="L89" i="16"/>
  <c r="M89" i="16"/>
  <c r="N89" i="16"/>
  <c r="D90" i="16"/>
  <c r="E90" i="16"/>
  <c r="F90" i="16"/>
  <c r="G90" i="16"/>
  <c r="H90" i="16"/>
  <c r="I90" i="16"/>
  <c r="J90" i="16"/>
  <c r="K90" i="16"/>
  <c r="L90" i="16"/>
  <c r="M90" i="16"/>
  <c r="N90" i="16"/>
  <c r="D91" i="16"/>
  <c r="E91" i="16"/>
  <c r="F91" i="16"/>
  <c r="G91" i="16"/>
  <c r="H91" i="16"/>
  <c r="I91" i="16"/>
  <c r="J91" i="16"/>
  <c r="K91" i="16"/>
  <c r="L91" i="16"/>
  <c r="M91" i="16"/>
  <c r="N91" i="16"/>
  <c r="D92" i="16"/>
  <c r="E92" i="16"/>
  <c r="F92" i="16"/>
  <c r="G92" i="16"/>
  <c r="H92" i="16"/>
  <c r="I92" i="16"/>
  <c r="J92" i="16"/>
  <c r="K92" i="16"/>
  <c r="L92" i="16"/>
  <c r="M92" i="16"/>
  <c r="N92" i="16"/>
  <c r="D93" i="16"/>
  <c r="E93" i="16"/>
  <c r="F93" i="16"/>
  <c r="G93" i="16"/>
  <c r="H93" i="16"/>
  <c r="I93" i="16"/>
  <c r="J93" i="16"/>
  <c r="K93" i="16"/>
  <c r="L93" i="16"/>
  <c r="M93" i="16"/>
  <c r="N93" i="16"/>
  <c r="D94" i="16"/>
  <c r="E94" i="16"/>
  <c r="F94" i="16"/>
  <c r="G94" i="16"/>
  <c r="H94" i="16"/>
  <c r="I94" i="16"/>
  <c r="J94" i="16"/>
  <c r="K94" i="16"/>
  <c r="L94" i="16"/>
  <c r="M94" i="16"/>
  <c r="N94" i="16"/>
  <c r="D95" i="16"/>
  <c r="E95" i="16"/>
  <c r="F95" i="16"/>
  <c r="G95" i="16"/>
  <c r="H95" i="16"/>
  <c r="I95" i="16"/>
  <c r="J95" i="16"/>
  <c r="K95" i="16"/>
  <c r="L95" i="16"/>
  <c r="M95" i="16"/>
  <c r="N95" i="16"/>
  <c r="D96" i="16"/>
  <c r="E96" i="16"/>
  <c r="F96" i="16"/>
  <c r="G96" i="16"/>
  <c r="H96" i="16"/>
  <c r="I96" i="16"/>
  <c r="J96" i="16"/>
  <c r="K96" i="16"/>
  <c r="L96" i="16"/>
  <c r="M96" i="16"/>
  <c r="N96" i="16"/>
  <c r="D97" i="16"/>
  <c r="E97" i="16"/>
  <c r="F97" i="16"/>
  <c r="G97" i="16"/>
  <c r="H97" i="16"/>
  <c r="I97" i="16"/>
  <c r="J97" i="16"/>
  <c r="K97" i="16"/>
  <c r="L97" i="16"/>
  <c r="M97" i="16"/>
  <c r="N97" i="16"/>
  <c r="D98" i="16"/>
  <c r="E98" i="16"/>
  <c r="F98" i="16"/>
  <c r="G98" i="16"/>
  <c r="H98" i="16"/>
  <c r="I98" i="16"/>
  <c r="J98" i="16"/>
  <c r="K98" i="16"/>
  <c r="L98" i="16"/>
  <c r="M98" i="16"/>
  <c r="N98" i="16"/>
  <c r="D99" i="16"/>
  <c r="E99" i="16"/>
  <c r="F99" i="16"/>
  <c r="G99" i="16"/>
  <c r="H99" i="16"/>
  <c r="I99" i="16"/>
  <c r="J99" i="16"/>
  <c r="K99" i="16"/>
  <c r="L99" i="16"/>
  <c r="M99" i="16"/>
  <c r="N99" i="16"/>
  <c r="D100" i="16"/>
  <c r="E100" i="16"/>
  <c r="F100" i="16"/>
  <c r="G100" i="16"/>
  <c r="H100" i="16"/>
  <c r="I100" i="16"/>
  <c r="J100" i="16"/>
  <c r="K100" i="16"/>
  <c r="L100" i="16"/>
  <c r="M100" i="16"/>
  <c r="N100" i="16"/>
  <c r="D101" i="16"/>
  <c r="E101" i="16"/>
  <c r="F101" i="16"/>
  <c r="G101" i="16"/>
  <c r="H101" i="16"/>
  <c r="I101" i="16"/>
  <c r="J101" i="16"/>
  <c r="K101" i="16"/>
  <c r="L101" i="16"/>
  <c r="M101" i="16"/>
  <c r="N101" i="16"/>
  <c r="D102" i="16"/>
  <c r="E102" i="16"/>
  <c r="F102" i="16"/>
  <c r="G102" i="16"/>
  <c r="H102" i="16"/>
  <c r="I102" i="16"/>
  <c r="J102" i="16"/>
  <c r="K102" i="16"/>
  <c r="L102" i="16"/>
  <c r="M102" i="16"/>
  <c r="N102" i="16"/>
  <c r="D103" i="16"/>
  <c r="E103" i="16"/>
  <c r="F103" i="16"/>
  <c r="G103" i="16"/>
  <c r="H103" i="16"/>
  <c r="I103" i="16"/>
  <c r="J103" i="16"/>
  <c r="K103" i="16"/>
  <c r="L103" i="16"/>
  <c r="M103" i="16"/>
  <c r="N103" i="16"/>
  <c r="D104" i="16"/>
  <c r="E104" i="16"/>
  <c r="F104" i="16"/>
  <c r="G104" i="16"/>
  <c r="H104" i="16"/>
  <c r="I104" i="16"/>
  <c r="J104" i="16"/>
  <c r="K104" i="16"/>
  <c r="L104" i="16"/>
  <c r="M104" i="16"/>
  <c r="N104" i="16"/>
  <c r="D105" i="16"/>
  <c r="E105" i="16"/>
  <c r="F105" i="16"/>
  <c r="G105" i="16"/>
  <c r="H105" i="16"/>
  <c r="I105" i="16"/>
  <c r="J105" i="16"/>
  <c r="K105" i="16"/>
  <c r="L105" i="16"/>
  <c r="M105" i="16"/>
  <c r="N105" i="16"/>
  <c r="D106" i="16"/>
  <c r="E106" i="16"/>
  <c r="F106" i="16"/>
  <c r="G106" i="16"/>
  <c r="H106" i="16"/>
  <c r="I106" i="16"/>
  <c r="J106" i="16"/>
  <c r="K106" i="16"/>
  <c r="L106" i="16"/>
  <c r="M106" i="16"/>
  <c r="N106" i="16"/>
  <c r="D107" i="16"/>
  <c r="E107" i="16"/>
  <c r="F107" i="16"/>
  <c r="G107" i="16"/>
  <c r="H107" i="16"/>
  <c r="I107" i="16"/>
  <c r="J107" i="16"/>
  <c r="K107" i="16"/>
  <c r="L107" i="16"/>
  <c r="M107" i="16"/>
  <c r="N107" i="16"/>
  <c r="D108" i="16"/>
  <c r="E108" i="16"/>
  <c r="F108" i="16"/>
  <c r="G108" i="16"/>
  <c r="H108" i="16"/>
  <c r="I108" i="16"/>
  <c r="J108" i="16"/>
  <c r="K108" i="16"/>
  <c r="L108" i="16"/>
  <c r="M108" i="16"/>
  <c r="N108" i="16"/>
  <c r="D109" i="16"/>
  <c r="E109" i="16"/>
  <c r="F109" i="16"/>
  <c r="G109" i="16"/>
  <c r="H109" i="16"/>
  <c r="I109" i="16"/>
  <c r="J109" i="16"/>
  <c r="K109" i="16"/>
  <c r="L109" i="16"/>
  <c r="M109" i="16"/>
  <c r="N109" i="16"/>
  <c r="D110" i="16"/>
  <c r="E110" i="16"/>
  <c r="F110" i="16"/>
  <c r="G110" i="16"/>
  <c r="H110" i="16"/>
  <c r="I110" i="16"/>
  <c r="J110" i="16"/>
  <c r="K110" i="16"/>
  <c r="L110" i="16"/>
  <c r="M110" i="16"/>
  <c r="N110" i="16"/>
  <c r="D111" i="16"/>
  <c r="E111" i="16"/>
  <c r="F111" i="16"/>
  <c r="G111" i="16"/>
  <c r="H111" i="16"/>
  <c r="I111" i="16"/>
  <c r="J111" i="16"/>
  <c r="K111" i="16"/>
  <c r="L111" i="16"/>
  <c r="M111" i="16"/>
  <c r="N111" i="16"/>
  <c r="D112" i="16"/>
  <c r="E112" i="16"/>
  <c r="F112" i="16"/>
  <c r="G112" i="16"/>
  <c r="H112" i="16"/>
  <c r="I112" i="16"/>
  <c r="J112" i="16"/>
  <c r="K112" i="16"/>
  <c r="L112" i="16"/>
  <c r="M112" i="16"/>
  <c r="N112" i="16"/>
  <c r="D113" i="16"/>
  <c r="E113" i="16"/>
  <c r="F113" i="16"/>
  <c r="G113" i="16"/>
  <c r="H113" i="16"/>
  <c r="I113" i="16"/>
  <c r="J113" i="16"/>
  <c r="K113" i="16"/>
  <c r="L113" i="16"/>
  <c r="M113" i="16"/>
  <c r="N113" i="16"/>
  <c r="D114" i="16"/>
  <c r="E114" i="16"/>
  <c r="F114" i="16"/>
  <c r="G114" i="16"/>
  <c r="H114" i="16"/>
  <c r="I114" i="16"/>
  <c r="J114" i="16"/>
  <c r="K114" i="16"/>
  <c r="L114" i="16"/>
  <c r="M114" i="16"/>
  <c r="N114" i="16"/>
  <c r="D115" i="16"/>
  <c r="E115" i="16"/>
  <c r="F115" i="16"/>
  <c r="G115" i="16"/>
  <c r="H115" i="16"/>
  <c r="I115" i="16"/>
  <c r="J115" i="16"/>
  <c r="K115" i="16"/>
  <c r="L115" i="16"/>
  <c r="M115" i="16"/>
  <c r="N115" i="16"/>
  <c r="D116" i="16"/>
  <c r="E116" i="16"/>
  <c r="F116" i="16"/>
  <c r="G116" i="16"/>
  <c r="H116" i="16"/>
  <c r="I116" i="16"/>
  <c r="J116" i="16"/>
  <c r="K116" i="16"/>
  <c r="L116" i="16"/>
  <c r="M116" i="16"/>
  <c r="N116" i="16"/>
  <c r="D117" i="16"/>
  <c r="E117" i="16"/>
  <c r="F117" i="16"/>
  <c r="G117" i="16"/>
  <c r="H117" i="16"/>
  <c r="I117" i="16"/>
  <c r="J117" i="16"/>
  <c r="K117" i="16"/>
  <c r="L117" i="16"/>
  <c r="M117" i="16"/>
  <c r="N117" i="16"/>
  <c r="D118" i="16"/>
  <c r="E118" i="16"/>
  <c r="F118" i="16"/>
  <c r="G118" i="16"/>
  <c r="H118" i="16"/>
  <c r="I118" i="16"/>
  <c r="J118" i="16"/>
  <c r="K118" i="16"/>
  <c r="L118" i="16"/>
  <c r="M118" i="16"/>
  <c r="N118" i="16"/>
  <c r="D119" i="16"/>
  <c r="E119" i="16"/>
  <c r="F119" i="16"/>
  <c r="G119" i="16"/>
  <c r="H119" i="16"/>
  <c r="I119" i="16"/>
  <c r="J119" i="16"/>
  <c r="K119" i="16"/>
  <c r="L119" i="16"/>
  <c r="M119" i="16"/>
  <c r="N119" i="16"/>
  <c r="D120" i="16"/>
  <c r="E120" i="16"/>
  <c r="F120" i="16"/>
  <c r="G120" i="16"/>
  <c r="H120" i="16"/>
  <c r="I120" i="16"/>
  <c r="J120" i="16"/>
  <c r="K120" i="16"/>
  <c r="L120" i="16"/>
  <c r="M120" i="16"/>
  <c r="N120" i="16"/>
  <c r="D121" i="16"/>
  <c r="E121" i="16"/>
  <c r="F121" i="16"/>
  <c r="G121" i="16"/>
  <c r="H121" i="16"/>
  <c r="I121" i="16"/>
  <c r="J121" i="16"/>
  <c r="K121" i="16"/>
  <c r="L121" i="16"/>
  <c r="M121" i="16"/>
  <c r="N121" i="16"/>
  <c r="D122" i="16"/>
  <c r="E122" i="16"/>
  <c r="F122" i="16"/>
  <c r="G122" i="16"/>
  <c r="H122" i="16"/>
  <c r="I122" i="16"/>
  <c r="J122" i="16"/>
  <c r="K122" i="16"/>
  <c r="L122" i="16"/>
  <c r="M122" i="16"/>
  <c r="N122" i="16"/>
  <c r="D123" i="16"/>
  <c r="E123" i="16"/>
  <c r="F123" i="16"/>
  <c r="G123" i="16"/>
  <c r="H123" i="16"/>
  <c r="I123" i="16"/>
  <c r="J123" i="16"/>
  <c r="K123" i="16"/>
  <c r="L123" i="16"/>
  <c r="M123" i="16"/>
  <c r="N123" i="16"/>
  <c r="D124" i="16"/>
  <c r="E124" i="16"/>
  <c r="F124" i="16"/>
  <c r="G124" i="16"/>
  <c r="H124" i="16"/>
  <c r="I124" i="16"/>
  <c r="J124" i="16"/>
  <c r="K124" i="16"/>
  <c r="L124" i="16"/>
  <c r="M124" i="16"/>
  <c r="N124" i="16"/>
  <c r="D125" i="16"/>
  <c r="E125" i="16"/>
  <c r="F125" i="16"/>
  <c r="G125" i="16"/>
  <c r="H125" i="16"/>
  <c r="I125" i="16"/>
  <c r="J125" i="16"/>
  <c r="K125" i="16"/>
  <c r="L125" i="16"/>
  <c r="M125" i="16"/>
  <c r="N125" i="16"/>
  <c r="D126" i="16"/>
  <c r="E126" i="16"/>
  <c r="F126" i="16"/>
  <c r="G126" i="16"/>
  <c r="H126" i="16"/>
  <c r="I126" i="16"/>
  <c r="J126" i="16"/>
  <c r="K126" i="16"/>
  <c r="L126" i="16"/>
  <c r="M126" i="16"/>
  <c r="N126" i="16"/>
  <c r="D127" i="16"/>
  <c r="E127" i="16"/>
  <c r="F127" i="16"/>
  <c r="G127" i="16"/>
  <c r="H127" i="16"/>
  <c r="I127" i="16"/>
  <c r="J127" i="16"/>
  <c r="K127" i="16"/>
  <c r="L127" i="16"/>
  <c r="M127" i="16"/>
  <c r="N127" i="16"/>
  <c r="D128" i="16"/>
  <c r="E128" i="16"/>
  <c r="F128" i="16"/>
  <c r="G128" i="16"/>
  <c r="H128" i="16"/>
  <c r="I128" i="16"/>
  <c r="J128" i="16"/>
  <c r="K128" i="16"/>
  <c r="L128" i="16"/>
  <c r="M128" i="16"/>
  <c r="N128" i="16"/>
  <c r="D129" i="16"/>
  <c r="E129" i="16"/>
  <c r="F129" i="16"/>
  <c r="G129" i="16"/>
  <c r="H129" i="16"/>
  <c r="I129" i="16"/>
  <c r="J129" i="16"/>
  <c r="K129" i="16"/>
  <c r="L129" i="16"/>
  <c r="M129" i="16"/>
  <c r="N129" i="16"/>
  <c r="D130" i="16"/>
  <c r="E130" i="16"/>
  <c r="F130" i="16"/>
  <c r="G130" i="16"/>
  <c r="H130" i="16"/>
  <c r="I130" i="16"/>
  <c r="J130" i="16"/>
  <c r="K130" i="16"/>
  <c r="L130" i="16"/>
  <c r="M130" i="16"/>
  <c r="N130" i="16"/>
  <c r="D131" i="16"/>
  <c r="E131" i="16"/>
  <c r="F131" i="16"/>
  <c r="G131" i="16"/>
  <c r="H131" i="16"/>
  <c r="I131" i="16"/>
  <c r="J131" i="16"/>
  <c r="K131" i="16"/>
  <c r="L131" i="16"/>
  <c r="M131" i="16"/>
  <c r="N131" i="16"/>
  <c r="D132" i="16"/>
  <c r="E132" i="16"/>
  <c r="F132" i="16"/>
  <c r="G132" i="16"/>
  <c r="H132" i="16"/>
  <c r="I132" i="16"/>
  <c r="J132" i="16"/>
  <c r="K132" i="16"/>
  <c r="L132" i="16"/>
  <c r="M132" i="16"/>
  <c r="N132" i="16"/>
  <c r="D133" i="16"/>
  <c r="E133" i="16"/>
  <c r="F133" i="16"/>
  <c r="G133" i="16"/>
  <c r="H133" i="16"/>
  <c r="I133" i="16"/>
  <c r="J133" i="16"/>
  <c r="K133" i="16"/>
  <c r="L133" i="16"/>
  <c r="M133" i="16"/>
  <c r="N133" i="16"/>
  <c r="D134" i="16"/>
  <c r="E134" i="16"/>
  <c r="F134" i="16"/>
  <c r="G134" i="16"/>
  <c r="H134" i="16"/>
  <c r="I134" i="16"/>
  <c r="J134" i="16"/>
  <c r="K134" i="16"/>
  <c r="L134" i="16"/>
  <c r="M134" i="16"/>
  <c r="N134" i="16"/>
  <c r="D135" i="16"/>
  <c r="E135" i="16"/>
  <c r="F135" i="16"/>
  <c r="G135" i="16"/>
  <c r="H135" i="16"/>
  <c r="I135" i="16"/>
  <c r="J135" i="16"/>
  <c r="K135" i="16"/>
  <c r="L135" i="16"/>
  <c r="M135" i="16"/>
  <c r="N135" i="16"/>
  <c r="D136" i="16"/>
  <c r="E136" i="16"/>
  <c r="F136" i="16"/>
  <c r="G136" i="16"/>
  <c r="H136" i="16"/>
  <c r="I136" i="16"/>
  <c r="J136" i="16"/>
  <c r="K136" i="16"/>
  <c r="L136" i="16"/>
  <c r="M136" i="16"/>
  <c r="N136" i="16"/>
  <c r="D137" i="16"/>
  <c r="E137" i="16"/>
  <c r="F137" i="16"/>
  <c r="G137" i="16"/>
  <c r="H137" i="16"/>
  <c r="I137" i="16"/>
  <c r="J137" i="16"/>
  <c r="K137" i="16"/>
  <c r="L137" i="16"/>
  <c r="M137" i="16"/>
  <c r="N137" i="16"/>
  <c r="D138" i="16"/>
  <c r="E138" i="16"/>
  <c r="F138" i="16"/>
  <c r="G138" i="16"/>
  <c r="H138" i="16"/>
  <c r="I138" i="16"/>
  <c r="J138" i="16"/>
  <c r="K138" i="16"/>
  <c r="L138" i="16"/>
  <c r="M138" i="16"/>
  <c r="N138" i="16"/>
  <c r="D139" i="16"/>
  <c r="E139" i="16"/>
  <c r="F139" i="16"/>
  <c r="G139" i="16"/>
  <c r="H139" i="16"/>
  <c r="I139" i="16"/>
  <c r="J139" i="16"/>
  <c r="K139" i="16"/>
  <c r="L139" i="16"/>
  <c r="M139" i="16"/>
  <c r="N139" i="16"/>
  <c r="D140" i="16"/>
  <c r="E140" i="16"/>
  <c r="F140" i="16"/>
  <c r="G140" i="16"/>
  <c r="H140" i="16"/>
  <c r="I140" i="16"/>
  <c r="J140" i="16"/>
  <c r="K140" i="16"/>
  <c r="L140" i="16"/>
  <c r="M140" i="16"/>
  <c r="N140" i="16"/>
  <c r="D141" i="16"/>
  <c r="E141" i="16"/>
  <c r="F141" i="16"/>
  <c r="G141" i="16"/>
  <c r="H141" i="16"/>
  <c r="I141" i="16"/>
  <c r="J141" i="16"/>
  <c r="K141" i="16"/>
  <c r="L141" i="16"/>
  <c r="M141" i="16"/>
  <c r="N141" i="16"/>
  <c r="D142" i="16"/>
  <c r="E142" i="16"/>
  <c r="F142" i="16"/>
  <c r="G142" i="16"/>
  <c r="H142" i="16"/>
  <c r="I142" i="16"/>
  <c r="J142" i="16"/>
  <c r="K142" i="16"/>
  <c r="L142" i="16"/>
  <c r="M142" i="16"/>
  <c r="N142" i="16"/>
  <c r="D143" i="16"/>
  <c r="E143" i="16"/>
  <c r="F143" i="16"/>
  <c r="G143" i="16"/>
  <c r="H143" i="16"/>
  <c r="I143" i="16"/>
  <c r="J143" i="16"/>
  <c r="K143" i="16"/>
  <c r="L143" i="16"/>
  <c r="M143" i="16"/>
  <c r="N143" i="16"/>
  <c r="D144" i="16"/>
  <c r="E144" i="16"/>
  <c r="F144" i="16"/>
  <c r="G144" i="16"/>
  <c r="H144" i="16"/>
  <c r="I144" i="16"/>
  <c r="J144" i="16"/>
  <c r="K144" i="16"/>
  <c r="L144" i="16"/>
  <c r="M144" i="16"/>
  <c r="N144" i="16"/>
  <c r="D145" i="16"/>
  <c r="E145" i="16"/>
  <c r="F145" i="16"/>
  <c r="G145" i="16"/>
  <c r="H145" i="16"/>
  <c r="I145" i="16"/>
  <c r="J145" i="16"/>
  <c r="K145" i="16"/>
  <c r="L145" i="16"/>
  <c r="M145" i="16"/>
  <c r="N145" i="16"/>
  <c r="D146" i="16"/>
  <c r="E146" i="16"/>
  <c r="F146" i="16"/>
  <c r="G146" i="16"/>
  <c r="H146" i="16"/>
  <c r="I146" i="16"/>
  <c r="J146" i="16"/>
  <c r="K146" i="16"/>
  <c r="L146" i="16"/>
  <c r="M146" i="16"/>
  <c r="N146" i="16"/>
  <c r="C14" i="16"/>
  <c r="C15" i="16"/>
  <c r="C16" i="16"/>
  <c r="C17" i="16"/>
  <c r="C18" i="16"/>
  <c r="C19" i="16"/>
  <c r="C20" i="16"/>
  <c r="C21" i="16"/>
  <c r="C22" i="16"/>
  <c r="C23" i="16"/>
  <c r="C24" i="16"/>
  <c r="C25" i="16"/>
  <c r="C26" i="16"/>
  <c r="C27" i="16"/>
  <c r="C28" i="16"/>
  <c r="C29" i="16"/>
  <c r="C30" i="16"/>
  <c r="C31" i="16"/>
  <c r="C32" i="16"/>
  <c r="C33" i="16"/>
  <c r="C34" i="16"/>
  <c r="C35" i="16"/>
  <c r="C36" i="16"/>
  <c r="C37" i="16"/>
  <c r="C38" i="16"/>
  <c r="C39" i="16"/>
  <c r="C40" i="16"/>
  <c r="C41" i="16"/>
  <c r="C42" i="16"/>
  <c r="C43" i="16"/>
  <c r="C44" i="16"/>
  <c r="C45" i="16"/>
  <c r="C46" i="16"/>
  <c r="C47" i="16"/>
  <c r="C48" i="16"/>
  <c r="C49" i="16"/>
  <c r="C50" i="16"/>
  <c r="C51" i="16"/>
  <c r="C52" i="16"/>
  <c r="C53" i="16"/>
  <c r="C54" i="16"/>
  <c r="C55" i="16"/>
  <c r="C56" i="16"/>
  <c r="C57" i="16"/>
  <c r="C58" i="16"/>
  <c r="C59" i="16"/>
  <c r="C60" i="16"/>
  <c r="C61" i="16"/>
  <c r="C62" i="16"/>
  <c r="C63" i="16"/>
  <c r="C64" i="16"/>
  <c r="C65" i="16"/>
  <c r="C66" i="16"/>
  <c r="C67" i="16"/>
  <c r="C68" i="16"/>
  <c r="C69" i="16"/>
  <c r="C70" i="16"/>
  <c r="C71" i="16"/>
  <c r="C72" i="16"/>
  <c r="C73" i="16"/>
  <c r="C74" i="16"/>
  <c r="C75" i="16"/>
  <c r="C76" i="16"/>
  <c r="C77" i="16"/>
  <c r="C78" i="16"/>
  <c r="C79" i="16"/>
  <c r="C80" i="16"/>
  <c r="C81" i="16"/>
  <c r="C82" i="16"/>
  <c r="C83" i="16"/>
  <c r="C84" i="16"/>
  <c r="C85" i="16"/>
  <c r="C86" i="16"/>
  <c r="C87" i="16"/>
  <c r="C88" i="16"/>
  <c r="C89" i="16"/>
  <c r="C90" i="16"/>
  <c r="C91" i="16"/>
  <c r="C92" i="16"/>
  <c r="C93" i="16"/>
  <c r="C94" i="16"/>
  <c r="C95" i="16"/>
  <c r="C96" i="16"/>
  <c r="C97" i="16"/>
  <c r="C98" i="16"/>
  <c r="C99" i="16"/>
  <c r="C100" i="16"/>
  <c r="C101" i="16"/>
  <c r="C102" i="16"/>
  <c r="C103" i="16"/>
  <c r="C104" i="16"/>
  <c r="C105" i="16"/>
  <c r="C106" i="16"/>
  <c r="C107" i="16"/>
  <c r="C108" i="16"/>
  <c r="C109" i="16"/>
  <c r="C110" i="16"/>
  <c r="C111" i="16"/>
  <c r="C112" i="16"/>
  <c r="C113" i="16"/>
  <c r="C114" i="16"/>
  <c r="C115" i="16"/>
  <c r="C116" i="16"/>
  <c r="C117" i="16"/>
  <c r="C118" i="16"/>
  <c r="C119" i="16"/>
  <c r="C120" i="16"/>
  <c r="C121" i="16"/>
  <c r="C122" i="16"/>
  <c r="C123" i="16"/>
  <c r="C124" i="16"/>
  <c r="C125" i="16"/>
  <c r="C126" i="16"/>
  <c r="C127" i="16"/>
  <c r="C128" i="16"/>
  <c r="C129" i="16"/>
  <c r="C130" i="16"/>
  <c r="C131" i="16"/>
  <c r="C132" i="16"/>
  <c r="C133" i="16"/>
  <c r="C134" i="16"/>
  <c r="C135" i="16"/>
  <c r="C136" i="16"/>
  <c r="C137" i="16"/>
  <c r="C138" i="16"/>
  <c r="C139" i="16"/>
  <c r="C140" i="16"/>
  <c r="C141" i="16"/>
  <c r="C142" i="16"/>
  <c r="C143" i="16"/>
  <c r="C144" i="16"/>
  <c r="C145" i="16"/>
  <c r="C146" i="16"/>
  <c r="A14" i="16"/>
  <c r="B14" i="16"/>
  <c r="A15" i="16"/>
  <c r="B15" i="16"/>
  <c r="A16" i="16"/>
  <c r="B16" i="16"/>
  <c r="A17" i="16"/>
  <c r="B17" i="16"/>
  <c r="A18" i="16"/>
  <c r="B18" i="16"/>
  <c r="A19" i="16"/>
  <c r="B19" i="16"/>
  <c r="A20" i="16"/>
  <c r="B20" i="16"/>
  <c r="A21" i="16"/>
  <c r="B21" i="16"/>
  <c r="A22" i="16"/>
  <c r="B22" i="16"/>
  <c r="A23" i="16"/>
  <c r="B23" i="16"/>
  <c r="A24" i="16"/>
  <c r="B24" i="16"/>
  <c r="A25" i="16"/>
  <c r="B25" i="16"/>
  <c r="A26" i="16"/>
  <c r="B26" i="16"/>
  <c r="A27" i="16"/>
  <c r="B27" i="16"/>
  <c r="A28" i="16"/>
  <c r="B28" i="16"/>
  <c r="A29" i="16"/>
  <c r="B29" i="16"/>
  <c r="A30" i="16"/>
  <c r="B30" i="16"/>
  <c r="A31" i="16"/>
  <c r="B31" i="16"/>
  <c r="A32" i="16"/>
  <c r="B32" i="16"/>
  <c r="A33" i="16"/>
  <c r="B33" i="16"/>
  <c r="A34" i="16"/>
  <c r="B34" i="16"/>
  <c r="A35" i="16"/>
  <c r="B35" i="16"/>
  <c r="A36" i="16"/>
  <c r="B36" i="16"/>
  <c r="A37" i="16"/>
  <c r="B37" i="16"/>
  <c r="A38" i="16"/>
  <c r="B38" i="16"/>
  <c r="A39" i="16"/>
  <c r="B39" i="16"/>
  <c r="A40" i="16"/>
  <c r="B40" i="16"/>
  <c r="A41" i="16"/>
  <c r="B41" i="16"/>
  <c r="A42" i="16"/>
  <c r="B42" i="16"/>
  <c r="A43" i="16"/>
  <c r="B43" i="16"/>
  <c r="A44" i="16"/>
  <c r="B44" i="16"/>
  <c r="A45" i="16"/>
  <c r="B45" i="16"/>
  <c r="A46" i="16"/>
  <c r="B46" i="16"/>
  <c r="A47" i="16"/>
  <c r="B47" i="16"/>
  <c r="A48" i="16"/>
  <c r="B48" i="16"/>
  <c r="A49" i="16"/>
  <c r="B49" i="16"/>
  <c r="A50" i="16"/>
  <c r="B50" i="16"/>
  <c r="A51" i="16"/>
  <c r="B51" i="16"/>
  <c r="A52" i="16"/>
  <c r="B52" i="16"/>
  <c r="A53" i="16"/>
  <c r="B53" i="16"/>
  <c r="A54" i="16"/>
  <c r="B54" i="16"/>
  <c r="A55" i="16"/>
  <c r="B55" i="16"/>
  <c r="A56" i="16"/>
  <c r="B56" i="16"/>
  <c r="A57" i="16"/>
  <c r="B57" i="16"/>
  <c r="A58" i="16"/>
  <c r="B58" i="16"/>
  <c r="A59" i="16"/>
  <c r="B59" i="16"/>
  <c r="A60" i="16"/>
  <c r="B60" i="16"/>
  <c r="A61" i="16"/>
  <c r="B61" i="16"/>
  <c r="A62" i="16"/>
  <c r="B62" i="16"/>
  <c r="A63" i="16"/>
  <c r="B63" i="16"/>
  <c r="A64" i="16"/>
  <c r="B64" i="16"/>
  <c r="A65" i="16"/>
  <c r="B65" i="16"/>
  <c r="A66" i="16"/>
  <c r="B66" i="16"/>
  <c r="A67" i="16"/>
  <c r="B67" i="16"/>
  <c r="A68" i="16"/>
  <c r="B68" i="16"/>
  <c r="A69" i="16"/>
  <c r="B69" i="16"/>
  <c r="A70" i="16"/>
  <c r="B70" i="16"/>
  <c r="A71" i="16"/>
  <c r="B71" i="16"/>
  <c r="A72" i="16"/>
  <c r="B72" i="16"/>
  <c r="A73" i="16"/>
  <c r="B73" i="16"/>
  <c r="A74" i="16"/>
  <c r="B74" i="16"/>
  <c r="A75" i="16"/>
  <c r="B75" i="16"/>
  <c r="A76" i="16"/>
  <c r="B76" i="16"/>
  <c r="A77" i="16"/>
  <c r="B77" i="16"/>
  <c r="A78" i="16"/>
  <c r="B78" i="16"/>
  <c r="A79" i="16"/>
  <c r="B79" i="16"/>
  <c r="A80" i="16"/>
  <c r="B80" i="16"/>
  <c r="A81" i="16"/>
  <c r="B81" i="16"/>
  <c r="A82" i="16"/>
  <c r="B82" i="16"/>
  <c r="A83" i="16"/>
  <c r="B83" i="16"/>
  <c r="A84" i="16"/>
  <c r="B84" i="16"/>
  <c r="A85" i="16"/>
  <c r="B85" i="16"/>
  <c r="A86" i="16"/>
  <c r="B86" i="16"/>
  <c r="A87" i="16"/>
  <c r="B87" i="16"/>
  <c r="A88" i="16"/>
  <c r="B88" i="16"/>
  <c r="A89" i="16"/>
  <c r="B89" i="16"/>
  <c r="A90" i="16"/>
  <c r="B90" i="16"/>
  <c r="A91" i="16"/>
  <c r="B91" i="16"/>
  <c r="A92" i="16"/>
  <c r="B92" i="16"/>
  <c r="A93" i="16"/>
  <c r="B93" i="16"/>
  <c r="A94" i="16"/>
  <c r="B94" i="16"/>
  <c r="A95" i="16"/>
  <c r="B95" i="16"/>
  <c r="A96" i="16"/>
  <c r="B96" i="16"/>
  <c r="A97" i="16"/>
  <c r="B97" i="16"/>
  <c r="A98" i="16"/>
  <c r="B98" i="16"/>
  <c r="A99" i="16"/>
  <c r="B99" i="16"/>
  <c r="A100" i="16"/>
  <c r="B100" i="16"/>
  <c r="A101" i="16"/>
  <c r="B101" i="16"/>
  <c r="A102" i="16"/>
  <c r="B102" i="16"/>
  <c r="A103" i="16"/>
  <c r="B103" i="16"/>
  <c r="A104" i="16"/>
  <c r="B104" i="16"/>
  <c r="A105" i="16"/>
  <c r="B105" i="16"/>
  <c r="A106" i="16"/>
  <c r="B106" i="16"/>
  <c r="A107" i="16"/>
  <c r="B107" i="16"/>
  <c r="A108" i="16"/>
  <c r="B108" i="16"/>
  <c r="A109" i="16"/>
  <c r="B109" i="16"/>
  <c r="A110" i="16"/>
  <c r="B110" i="16"/>
  <c r="A111" i="16"/>
  <c r="B111" i="16"/>
  <c r="A112" i="16"/>
  <c r="B112" i="16"/>
  <c r="A113" i="16"/>
  <c r="B113" i="16"/>
  <c r="A114" i="16"/>
  <c r="B114" i="16"/>
  <c r="A115" i="16"/>
  <c r="B115" i="16"/>
  <c r="A116" i="16"/>
  <c r="B116" i="16"/>
  <c r="A117" i="16"/>
  <c r="B117" i="16"/>
  <c r="A118" i="16"/>
  <c r="B118" i="16"/>
  <c r="A119" i="16"/>
  <c r="B119" i="16"/>
  <c r="A120" i="16"/>
  <c r="B120" i="16"/>
  <c r="A121" i="16"/>
  <c r="B121" i="16"/>
  <c r="A122" i="16"/>
  <c r="B122" i="16"/>
  <c r="A123" i="16"/>
  <c r="B123" i="16"/>
  <c r="A124" i="16"/>
  <c r="B124" i="16"/>
  <c r="A125" i="16"/>
  <c r="B125" i="16"/>
  <c r="A126" i="16"/>
  <c r="B126" i="16"/>
  <c r="A127" i="16"/>
  <c r="B127" i="16"/>
  <c r="A128" i="16"/>
  <c r="B128" i="16"/>
  <c r="A129" i="16"/>
  <c r="B129" i="16"/>
  <c r="A130" i="16"/>
  <c r="B130" i="16"/>
  <c r="A131" i="16"/>
  <c r="B131" i="16"/>
  <c r="A132" i="16"/>
  <c r="B132" i="16"/>
  <c r="A133" i="16"/>
  <c r="B133" i="16"/>
  <c r="A134" i="16"/>
  <c r="B134" i="16"/>
  <c r="A135" i="16"/>
  <c r="B135" i="16"/>
  <c r="A136" i="16"/>
  <c r="B136" i="16"/>
  <c r="A137" i="16"/>
  <c r="B137" i="16"/>
  <c r="A138" i="16"/>
  <c r="B138" i="16"/>
  <c r="A139" i="16"/>
  <c r="B139" i="16"/>
  <c r="A140" i="16"/>
  <c r="B140" i="16"/>
  <c r="A141" i="16"/>
  <c r="B141" i="16"/>
  <c r="A142" i="16"/>
  <c r="B142" i="16"/>
  <c r="A143" i="16"/>
  <c r="B143" i="16"/>
  <c r="A144" i="16"/>
  <c r="B144" i="16"/>
  <c r="A145" i="16"/>
  <c r="B145" i="16"/>
  <c r="A146" i="16"/>
  <c r="B146" i="16"/>
  <c r="B13" i="16"/>
  <c r="A13" i="16"/>
  <c r="O6" i="16" l="1"/>
  <c r="O7" i="16"/>
  <c r="O8" i="16"/>
  <c r="N9" i="16" l="1"/>
  <c r="M9" i="16"/>
  <c r="L9" i="16"/>
  <c r="K9" i="16"/>
  <c r="J9" i="16"/>
  <c r="I9" i="16"/>
  <c r="H9" i="16"/>
  <c r="G9" i="16"/>
  <c r="F9" i="16"/>
  <c r="E9" i="16"/>
  <c r="D9" i="16"/>
  <c r="O9" i="16" l="1"/>
  <c r="G8" i="10"/>
  <c r="G9" i="10" l="1"/>
  <c r="F24" i="10" s="1"/>
  <c r="G31" i="10"/>
  <c r="G30" i="10"/>
  <c r="E24" i="10" l="1"/>
  <c r="F23" i="10"/>
  <c r="E23" i="10"/>
  <c r="F22" i="10"/>
  <c r="E22" i="10"/>
  <c r="F21" i="10"/>
  <c r="E21" i="10"/>
  <c r="F20" i="10"/>
  <c r="E20" i="10"/>
  <c r="F19" i="10"/>
  <c r="E19" i="10"/>
  <c r="F18" i="10"/>
  <c r="E18" i="10"/>
  <c r="F17" i="10"/>
  <c r="E17" i="10"/>
  <c r="F16" i="10"/>
  <c r="E16" i="10"/>
  <c r="F15" i="10"/>
  <c r="E15" i="10"/>
</calcChain>
</file>

<file path=xl/sharedStrings.xml><?xml version="1.0" encoding="utf-8"?>
<sst xmlns="http://schemas.openxmlformats.org/spreadsheetml/2006/main" count="186" uniqueCount="182">
  <si>
    <t>BESID</t>
  </si>
  <si>
    <t>Preference Customer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</si>
  <si>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</si>
  <si>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</si>
  <si>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</si>
  <si>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</si>
  <si>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</si>
  <si>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</si>
  <si>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</si>
  <si>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</si>
  <si>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</si>
  <si>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</si>
  <si>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</si>
  <si>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</si>
  <si>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</si>
  <si>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</si>
  <si>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</si>
  <si>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</si>
  <si>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</si>
  <si>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</si>
  <si>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</si>
  <si>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</si>
  <si>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</si>
  <si>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</si>
  <si>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</si>
  <si>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</si>
  <si>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</si>
  <si>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</si>
  <si>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</si>
  <si>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</si>
  <si>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</si>
  <si>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</si>
  <si>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</si>
  <si>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</si>
  <si>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</si>
  <si>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</si>
  <si>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</si>
  <si>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</si>
  <si>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</si>
  <si>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</si>
  <si>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</si>
  <si>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</si>
  <si>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</si>
  <si>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</si>
  <si>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</si>
  <si>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</si>
  <si>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</si>
  <si>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</si>
  <si>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</si>
  <si>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</si>
  <si>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</si>
  <si>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</si>
  <si>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</si>
  <si>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</si>
  <si>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</si>
  <si>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</si>
  <si>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</si>
  <si>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</si>
  <si>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</si>
  <si>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</si>
  <si>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</si>
  <si>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</si>
  <si>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</si>
  <si>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</si>
  <si>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</si>
  <si>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</si>
  <si>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</si>
  <si>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</si>
  <si>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</si>
  <si>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</si>
  <si>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</si>
  <si>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</si>
  <si>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</si>
  <si>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</si>
  <si>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</si>
  <si>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</si>
  <si>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</si>
  <si>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</si>
  <si>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</si>
  <si>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</si>
  <si>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</si>
  <si>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</si>
  <si>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</si>
  <si>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</si>
  <si>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</si>
  <si>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</si>
  <si>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</si>
  <si>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</si>
  <si>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</si>
  <si>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</si>
  <si>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</si>
  <si>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</si>
  <si>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</si>
  <si>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</si>
  <si>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</si>
  <si>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</si>
  <si>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</si>
  <si>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</si>
  <si>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</si>
  <si>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</si>
  <si>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</si>
  <si>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</si>
  <si>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</si>
  <si>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</si>
  <si>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</si>
  <si>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</si>
  <si>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</si>
  <si>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</si>
  <si>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</si>
  <si>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</si>
  <si>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</si>
  <si>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</si>
  <si>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</si>
  <si>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</si>
  <si>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</si>
  <si>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</si>
  <si>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</si>
  <si>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</si>
  <si>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</si>
  <si>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</si>
  <si>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</si>
  <si>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</si>
  <si>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</si>
  <si>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</si>
  <si>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</si>
  <si>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</si>
  <si>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</si>
  <si>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</si>
  <si>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</si>
  <si>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</si>
  <si>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</si>
  <si>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Kalispel Tribe Utility</t>
  </si>
  <si>
    <t>Hermiston, City of</t>
  </si>
  <si>
    <t>Port of Seattle - SETAC In'tl. Airport</t>
  </si>
  <si>
    <t>Weiser, City of</t>
  </si>
  <si>
    <t>Jefferson County PUD #1</t>
  </si>
  <si>
    <t>System Shaped Load (MWh)</t>
  </si>
  <si>
    <t>Sum of Billing Determinants (BD) (MWh)</t>
  </si>
  <si>
    <t>Total</t>
  </si>
  <si>
    <t>PF Melded Load (MWh)</t>
  </si>
  <si>
    <t>IP Load (MWh)</t>
  </si>
  <si>
    <t>NR Load (MWh)</t>
  </si>
  <si>
    <t>C</t>
  </si>
  <si>
    <t>Adjusted Load Shaping Charge True-Up rate:</t>
  </si>
  <si>
    <t>Adjusted PF Melded Equivalent Energy Scalar rate:</t>
  </si>
  <si>
    <t>HLH ($/MWh)</t>
  </si>
  <si>
    <t>LLH ($/MWh)</t>
  </si>
  <si>
    <t>A</t>
  </si>
  <si>
    <t>B</t>
  </si>
  <si>
    <t>D</t>
  </si>
  <si>
    <t>E</t>
  </si>
  <si>
    <t>F</t>
  </si>
  <si>
    <t xml:space="preserve">https://www.bpa.gov/Finance/RateCases/BP-20/BP18/BP-20/Final-Proposal/BP-20-A-03-AP02%20Appendix%20B%20Power%20Rate%20Schedules%20and%20GRSPs.pdf </t>
  </si>
  <si>
    <t>FY2020</t>
  </si>
  <si>
    <t>Power FRP Surcharge Amount:</t>
  </si>
  <si>
    <t>(a) Power FRP Surcharge Rate:</t>
  </si>
  <si>
    <t>Sum of Annual Billing Determinants (MWh):</t>
  </si>
  <si>
    <t>Sum of Dec - Sept Billing Determinants (MWh):</t>
  </si>
  <si>
    <t>(d) Annual Power FRP Surcharge Rate and Other Adjustments:</t>
  </si>
  <si>
    <t>Annual Power FRP Surcharge Rate ($/MWh):</t>
  </si>
  <si>
    <t>BP20 Power Rate Schedules and GRSPs section II.Q.2 - Power FRP Surcharge Rate</t>
  </si>
  <si>
    <t>Power FRP Surcharge rate ($/MWh):</t>
  </si>
  <si>
    <t>TOCA 2020</t>
  </si>
  <si>
    <t>TOCA 2021</t>
  </si>
  <si>
    <t>Non-Slice TOCA 2020</t>
  </si>
  <si>
    <t>Non-Slice TOCA 2021</t>
  </si>
  <si>
    <t>Slice Percentage 2020</t>
  </si>
  <si>
    <t>Slice Percentage 2021</t>
  </si>
  <si>
    <t>RHWM</t>
  </si>
  <si>
    <t>TOCA Load 2020*</t>
  </si>
  <si>
    <t>TOCA Load 2021*</t>
  </si>
  <si>
    <t>PNGC Aggregate</t>
  </si>
  <si>
    <t>Applicable LDD FY2020</t>
  </si>
  <si>
    <t>TOCAs as of 09202019</t>
  </si>
  <si>
    <t>RT1SC HLH (MWh)</t>
  </si>
  <si>
    <t>RT1SC LLH (MWh)</t>
  </si>
  <si>
    <t>Sum of Billing Determinants</t>
  </si>
  <si>
    <t>PF System Shaped Loads (MWh)</t>
  </si>
  <si>
    <t>(the amounts below may differ from billed amounts due to rounding)</t>
  </si>
  <si>
    <t>(c) Adjusted PF Tier 1 Equivalent Energy Rates:</t>
  </si>
  <si>
    <t>Final FY 2020 Power FRP Surcharge Estimates by PF Customer net Low Density Discount (LDD)</t>
  </si>
  <si>
    <t>December 11,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</si>
</sst>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5" formatCode="&quot;$&quot;#,##0_);\(&quot;$&quot;#,##0\)"/>
    <numFmt numFmtId="43" formatCode="_(* #,##0.00_);_(* \(#,##0.00\);_(* &quot;-&quot;??_);_(@_)"/>
    <numFmt numFmtId="164" formatCode="_(* #,##0.0000000_);_(* \(#,##0.0000000\);_(* &quot;-&quot;??_);_(@_)"/>
    <numFmt numFmtId="165" formatCode="0.000"/>
    <numFmt numFmtId="166" formatCode="&quot;$&quot;#,##0"/>
    <numFmt numFmtId="167" formatCode="&quot;$&quot;#,##0.00"/>
    <numFmt numFmtId="168" formatCode="_(* #,##0.0000000_);_(* \(#,##0.0000000\);_(* &quot;-&quot;???????_);_(@_)"/>
    <numFmt numFmtId="169" formatCode="#,##0.00000_);\(#,##0.00000\)"/>
    <numFmt numFmtId="170" formatCode="[$-409]mmm\-yy;@"/>
    <numFmt numFmtId="171" formatCode="&quot;$&quot;#,##0.0000"/>
    <numFmt numFmtId="172" formatCode="#,##0.000"/>
    <numFmt numFmtId="173" formatCode="#,##0.000_);\(#,##0.000\)"/>
    <numFmt numFmtId="174" formatCode="#,##0.0000"/>
    <numFmt numFmtId="175" formatCode="#,##0.00000"/>
  </numFmts>
  <fonts count="16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9"/>
      <color theme="1"/>
      <name val="Calibri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i/>
      <sz val="11"/>
      <color theme="1"/>
      <name val="Calibri"/>
      <family val="2"/>
    </font>
    <font>
      <sz val="8"/>
      <color theme="1"/>
      <name val="Calibri"/>
      <family val="2"/>
      <scheme val="minor"/>
    </font>
    <font>
      <b/>
      <sz val="9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2">
    <xf numFmtId="0" fontId="0" fillId="0" borderId="0"/>
    <xf numFmtId="0" fontId="5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45">
    <xf numFmtId="0" fontId="0" fillId="0" borderId="0" xfId="0"/>
    <xf numFmtId="0" fontId="7" fillId="0" borderId="0" xfId="0" applyFont="1"/>
    <xf numFmtId="166" fontId="0" fillId="0" borderId="0" xfId="0" applyNumberFormat="1"/>
    <xf numFmtId="167" fontId="0" fillId="0" borderId="0" xfId="0" applyNumberFormat="1"/>
    <xf numFmtId="0" fontId="8" fillId="0" borderId="0" xfId="0" applyFont="1"/>
    <xf numFmtId="0" fontId="7" fillId="0" borderId="0" xfId="0" applyFont="1" applyAlignment="1">
      <alignment horizontal="center"/>
    </xf>
    <xf numFmtId="3" fontId="0" fillId="0" borderId="0" xfId="0" applyNumberFormat="1"/>
    <xf numFmtId="0" fontId="11" fillId="0" borderId="0" xfId="0" applyFont="1"/>
    <xf numFmtId="4" fontId="0" fillId="0" borderId="0" xfId="0" applyNumberFormat="1"/>
    <xf numFmtId="4" fontId="7" fillId="0" borderId="0" xfId="0" applyNumberFormat="1" applyFont="1" applyFill="1"/>
    <xf numFmtId="0" fontId="11" fillId="0" borderId="0" xfId="0" applyFont="1" applyAlignment="1">
      <alignment horizontal="left"/>
    </xf>
    <xf numFmtId="166" fontId="7" fillId="0" borderId="0" xfId="0" applyNumberFormat="1" applyFont="1" applyFill="1" applyBorder="1"/>
    <xf numFmtId="167" fontId="7" fillId="0" borderId="0" xfId="0" applyNumberFormat="1" applyFont="1"/>
    <xf numFmtId="5" fontId="0" fillId="0" borderId="0" xfId="0" applyNumberFormat="1"/>
    <xf numFmtId="170" fontId="0" fillId="0" borderId="0" xfId="0" applyNumberFormat="1" applyAlignment="1">
      <alignment horizontal="left"/>
    </xf>
    <xf numFmtId="170" fontId="7" fillId="0" borderId="0" xfId="0" applyNumberFormat="1" applyFont="1" applyFill="1" applyAlignment="1">
      <alignment horizontal="left"/>
    </xf>
    <xf numFmtId="0" fontId="8" fillId="0" borderId="0" xfId="0" applyFont="1" applyAlignment="1">
      <alignment horizontal="center" vertical="center"/>
    </xf>
    <xf numFmtId="171" fontId="0" fillId="0" borderId="0" xfId="0" applyNumberFormat="1"/>
    <xf numFmtId="0" fontId="10" fillId="0" borderId="0" xfId="7"/>
    <xf numFmtId="167" fontId="7" fillId="2" borderId="1" xfId="0" applyNumberFormat="1" applyFont="1" applyFill="1" applyBorder="1"/>
    <xf numFmtId="170" fontId="7" fillId="0" borderId="0" xfId="0" applyNumberFormat="1" applyFont="1" applyAlignment="1">
      <alignment horizontal="left"/>
    </xf>
    <xf numFmtId="4" fontId="7" fillId="0" borderId="0" xfId="0" applyNumberFormat="1" applyFont="1"/>
    <xf numFmtId="0" fontId="9" fillId="0" borderId="0" xfId="9" applyFont="1"/>
    <xf numFmtId="0" fontId="1" fillId="0" borderId="0" xfId="9"/>
    <xf numFmtId="0" fontId="12" fillId="0" borderId="0" xfId="9" applyFont="1" applyAlignment="1">
      <alignment horizontal="center" vertical="center"/>
    </xf>
    <xf numFmtId="0" fontId="13" fillId="0" borderId="0" xfId="9" applyFont="1" applyFill="1" applyAlignment="1">
      <alignment horizontal="center" vertical="center" wrapText="1"/>
    </xf>
    <xf numFmtId="170" fontId="13" fillId="0" borderId="0" xfId="9" applyNumberFormat="1" applyFont="1" applyFill="1" applyAlignment="1">
      <alignment horizontal="center" vertical="center" wrapText="1"/>
    </xf>
    <xf numFmtId="0" fontId="12" fillId="0" borderId="0" xfId="9" applyFont="1"/>
    <xf numFmtId="164" fontId="12" fillId="0" borderId="0" xfId="10" applyNumberFormat="1" applyFont="1"/>
    <xf numFmtId="165" fontId="12" fillId="0" borderId="0" xfId="10" applyNumberFormat="1" applyFont="1"/>
    <xf numFmtId="169" fontId="12" fillId="0" borderId="0" xfId="10" applyNumberFormat="1" applyFont="1"/>
    <xf numFmtId="5" fontId="12" fillId="0" borderId="0" xfId="10" applyNumberFormat="1" applyFont="1"/>
    <xf numFmtId="168" fontId="1" fillId="0" borderId="0" xfId="9" applyNumberFormat="1"/>
    <xf numFmtId="0" fontId="14" fillId="0" borderId="0" xfId="9" applyFont="1"/>
    <xf numFmtId="3" fontId="12" fillId="0" borderId="0" xfId="9" applyNumberFormat="1" applyFont="1"/>
    <xf numFmtId="0" fontId="14" fillId="0" borderId="0" xfId="11" applyFont="1"/>
    <xf numFmtId="3" fontId="12" fillId="0" borderId="0" xfId="11" applyNumberFormat="1" applyFont="1"/>
    <xf numFmtId="172" fontId="12" fillId="0" borderId="0" xfId="9" applyNumberFormat="1" applyFont="1"/>
    <xf numFmtId="173" fontId="15" fillId="0" borderId="0" xfId="0" applyNumberFormat="1" applyFont="1"/>
    <xf numFmtId="173" fontId="12" fillId="0" borderId="0" xfId="9" applyNumberFormat="1" applyFont="1"/>
    <xf numFmtId="9" fontId="0" fillId="0" borderId="0" xfId="8" applyFont="1"/>
    <xf numFmtId="0" fontId="6" fillId="0" borderId="0" xfId="9" applyFont="1"/>
    <xf numFmtId="174" fontId="0" fillId="0" borderId="0" xfId="0" applyNumberFormat="1"/>
    <xf numFmtId="175" fontId="0" fillId="0" borderId="0" xfId="0" applyNumberFormat="1"/>
    <xf numFmtId="0" fontId="11" fillId="0" borderId="0" xfId="0" quotePrefix="1" applyFont="1"/>
  </cellXfs>
  <cellStyles count="12">
    <cellStyle name="Comma 2" xfId="3"/>
    <cellStyle name="Comma 3" xfId="5"/>
    <cellStyle name="Comma 3 2" xfId="10"/>
    <cellStyle name="Hyperlink" xfId="7" builtinId="8"/>
    <cellStyle name="Normal" xfId="0" builtinId="0"/>
    <cellStyle name="Normal 2" xfId="1"/>
    <cellStyle name="Normal 3" xfId="2"/>
    <cellStyle name="Normal 3 2" xfId="6"/>
    <cellStyle name="Normal 3 2 2" xfId="11"/>
    <cellStyle name="Normal 4" xfId="4"/>
    <cellStyle name="Normal 4 2" xfId="9"/>
    <cellStyle name="Percent" xfId="8" builtinId="5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pa.gov/Finance/RateCases/BP-20/BP18/BP-20/Final-Proposal/BP-20-A-03-AP02%20Appendix%20B%20Power%20Rate%20Schedules%20and%20GRSP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  <pageSetUpPr fitToPage="1"/>
  </sheetPr>
  <dimension ref="A1:R38"/>
  <sheetViews>
    <sheetView tabSelected="1" zoomScaleNormal="100" workbookViewId="0">
      <selection activeCell="A3" sqref="A3"/>
    </sheetView>
  </sheetViews>
  <sheetFormatPr defaultRowHeight="14.4" x14ac:dyDescent="0.3"/>
  <cols>
    <col min="1" max="1" width="8.109375" customWidth="1"/>
    <col min="2" max="4" width="11.5546875" customWidth="1"/>
    <col min="5" max="5" width="12.88671875" bestFit="1" customWidth="1"/>
    <col min="6" max="6" width="12.44140625" bestFit="1" customWidth="1"/>
    <col min="7" max="8" width="13.88671875" customWidth="1"/>
    <col min="9" max="9" width="12.5546875" customWidth="1"/>
    <col min="10" max="10" width="15.88671875" bestFit="1" customWidth="1"/>
    <col min="12" max="12" width="12" customWidth="1"/>
    <col min="15" max="15" width="11.109375" bestFit="1" customWidth="1"/>
    <col min="16" max="16" width="10.109375" bestFit="1" customWidth="1"/>
  </cols>
  <sheetData>
    <row r="1" spans="1:18" x14ac:dyDescent="0.3">
      <c r="A1" s="1" t="s">
        <v>160</v>
      </c>
    </row>
    <row r="2" spans="1:18" x14ac:dyDescent="0.3">
      <c r="A2" s="18" t="s">
        <v>152</v>
      </c>
    </row>
    <row r="3" spans="1:18" x14ac:dyDescent="0.3">
      <c r="A3" s="44" t="s">
        <v>181</v>
      </c>
    </row>
    <row r="4" spans="1:18" x14ac:dyDescent="0.3">
      <c r="A4" s="7"/>
    </row>
    <row r="5" spans="1:18" x14ac:dyDescent="0.3">
      <c r="A5" s="7"/>
      <c r="B5" s="16" t="s">
        <v>147</v>
      </c>
      <c r="C5" s="16" t="s">
        <v>148</v>
      </c>
      <c r="D5" s="16" t="s">
        <v>142</v>
      </c>
      <c r="E5" s="16" t="s">
        <v>149</v>
      </c>
      <c r="F5" s="16" t="s">
        <v>150</v>
      </c>
      <c r="G5" s="16" t="s">
        <v>151</v>
      </c>
    </row>
    <row r="6" spans="1:18" x14ac:dyDescent="0.3">
      <c r="A6" s="16">
        <v>1</v>
      </c>
      <c r="B6" s="10" t="s">
        <v>155</v>
      </c>
      <c r="G6" s="5" t="s">
        <v>153</v>
      </c>
    </row>
    <row r="7" spans="1:18" x14ac:dyDescent="0.3">
      <c r="A7" s="16">
        <v>2</v>
      </c>
      <c r="C7" t="s">
        <v>154</v>
      </c>
      <c r="G7" s="2">
        <v>30000000</v>
      </c>
      <c r="P7" s="2"/>
    </row>
    <row r="8" spans="1:18" x14ac:dyDescent="0.3">
      <c r="A8" s="16">
        <v>3</v>
      </c>
      <c r="C8" t="s">
        <v>157</v>
      </c>
      <c r="G8" s="6">
        <f>SUM('Sum of Billing Determinants'!E9:N9)</f>
        <v>37044486.932000011</v>
      </c>
      <c r="J8" s="17"/>
    </row>
    <row r="9" spans="1:18" ht="15" thickBot="1" x14ac:dyDescent="0.35">
      <c r="A9" s="16">
        <v>4</v>
      </c>
      <c r="C9" t="s">
        <v>161</v>
      </c>
      <c r="G9" s="19">
        <f>ROUND(G7/G8, 2)</f>
        <v>0.81</v>
      </c>
      <c r="M9" s="2"/>
    </row>
    <row r="10" spans="1:18" ht="15" thickTop="1" x14ac:dyDescent="0.3">
      <c r="A10" s="16">
        <v>5</v>
      </c>
      <c r="G10" s="11"/>
      <c r="R10" s="2"/>
    </row>
    <row r="11" spans="1:18" x14ac:dyDescent="0.3">
      <c r="A11" s="16">
        <v>6</v>
      </c>
      <c r="B11" s="7" t="s">
        <v>179</v>
      </c>
    </row>
    <row r="12" spans="1:18" x14ac:dyDescent="0.3">
      <c r="A12" s="16">
        <v>7</v>
      </c>
      <c r="E12" t="s">
        <v>145</v>
      </c>
      <c r="F12" t="s">
        <v>146</v>
      </c>
    </row>
    <row r="13" spans="1:18" x14ac:dyDescent="0.3">
      <c r="A13" s="16">
        <v>8</v>
      </c>
      <c r="D13" s="14">
        <v>43739</v>
      </c>
      <c r="E13" s="8">
        <v>39.03</v>
      </c>
      <c r="F13" s="8">
        <v>34.07</v>
      </c>
      <c r="J13" s="8"/>
      <c r="K13" s="8"/>
      <c r="L13" s="8"/>
    </row>
    <row r="14" spans="1:18" x14ac:dyDescent="0.3">
      <c r="A14" s="16">
        <v>9</v>
      </c>
      <c r="D14" s="14">
        <v>43770</v>
      </c>
      <c r="E14" s="8">
        <v>40.380000000000003</v>
      </c>
      <c r="F14" s="8">
        <v>37.03</v>
      </c>
      <c r="J14" s="8"/>
      <c r="K14" s="8"/>
      <c r="L14" s="8"/>
    </row>
    <row r="15" spans="1:18" x14ac:dyDescent="0.3">
      <c r="A15" s="16">
        <v>10</v>
      </c>
      <c r="D15" s="20">
        <v>43800</v>
      </c>
      <c r="E15" s="21">
        <f>43.28+G9</f>
        <v>44.09</v>
      </c>
      <c r="F15" s="21">
        <f>38.75+G9</f>
        <v>39.56</v>
      </c>
      <c r="J15" s="8"/>
      <c r="K15" s="8"/>
      <c r="L15" s="8"/>
    </row>
    <row r="16" spans="1:18" x14ac:dyDescent="0.3">
      <c r="A16" s="16">
        <v>11</v>
      </c>
      <c r="D16" s="20">
        <v>43831</v>
      </c>
      <c r="E16" s="21">
        <f>40.43+G9</f>
        <v>41.24</v>
      </c>
      <c r="F16" s="21">
        <f>34.4+G9</f>
        <v>35.21</v>
      </c>
      <c r="J16" s="8"/>
      <c r="K16" s="8"/>
      <c r="L16" s="8"/>
    </row>
    <row r="17" spans="1:18" x14ac:dyDescent="0.3">
      <c r="A17" s="16">
        <v>12</v>
      </c>
      <c r="D17" s="20">
        <v>43862</v>
      </c>
      <c r="E17" s="21">
        <f>39.55+G9</f>
        <v>40.36</v>
      </c>
      <c r="F17" s="21">
        <f>34.47+G9</f>
        <v>35.28</v>
      </c>
      <c r="J17" s="43"/>
      <c r="K17" s="8"/>
      <c r="L17" s="8"/>
    </row>
    <row r="18" spans="1:18" x14ac:dyDescent="0.3">
      <c r="A18" s="16">
        <v>13</v>
      </c>
      <c r="D18" s="20">
        <v>43891</v>
      </c>
      <c r="E18" s="21">
        <f>34.38+G9</f>
        <v>35.190000000000005</v>
      </c>
      <c r="F18" s="21">
        <f>31.3+G9</f>
        <v>32.11</v>
      </c>
      <c r="J18" s="8"/>
      <c r="K18" s="8"/>
      <c r="L18" s="8"/>
    </row>
    <row r="19" spans="1:18" x14ac:dyDescent="0.3">
      <c r="A19" s="16">
        <v>14</v>
      </c>
      <c r="D19" s="20">
        <v>43922</v>
      </c>
      <c r="E19" s="21">
        <f>33.17+G9</f>
        <v>33.980000000000004</v>
      </c>
      <c r="F19" s="21">
        <f>29.59+G9</f>
        <v>30.4</v>
      </c>
      <c r="J19" s="8"/>
      <c r="K19" s="8"/>
      <c r="L19" s="8"/>
    </row>
    <row r="20" spans="1:18" x14ac:dyDescent="0.3">
      <c r="A20" s="16">
        <v>15</v>
      </c>
      <c r="D20" s="20">
        <v>43952</v>
      </c>
      <c r="E20" s="21">
        <f>26.9+G9</f>
        <v>27.709999999999997</v>
      </c>
      <c r="F20" s="21">
        <f>21.74+G9</f>
        <v>22.549999999999997</v>
      </c>
      <c r="J20" s="42"/>
      <c r="K20" s="8"/>
      <c r="L20" s="8"/>
    </row>
    <row r="21" spans="1:18" x14ac:dyDescent="0.3">
      <c r="A21" s="16">
        <v>16</v>
      </c>
      <c r="D21" s="20">
        <v>43983</v>
      </c>
      <c r="E21" s="9">
        <f>25.71+G9</f>
        <v>26.52</v>
      </c>
      <c r="F21" s="9">
        <f>16.87+G9</f>
        <v>17.68</v>
      </c>
      <c r="J21" s="8"/>
      <c r="K21" s="8"/>
      <c r="L21" s="8"/>
    </row>
    <row r="22" spans="1:18" x14ac:dyDescent="0.3">
      <c r="A22" s="16">
        <v>17</v>
      </c>
      <c r="D22" s="20">
        <v>44013</v>
      </c>
      <c r="E22" s="9">
        <f>36.64+G9</f>
        <v>37.450000000000003</v>
      </c>
      <c r="F22" s="9">
        <f>30.5+G9</f>
        <v>31.31</v>
      </c>
      <c r="J22" s="8"/>
      <c r="K22" s="8"/>
      <c r="L22" s="8"/>
    </row>
    <row r="23" spans="1:18" x14ac:dyDescent="0.3">
      <c r="A23" s="16">
        <v>18</v>
      </c>
      <c r="D23" s="20">
        <v>44044</v>
      </c>
      <c r="E23" s="9">
        <f>40.43+G9</f>
        <v>41.24</v>
      </c>
      <c r="F23" s="9">
        <f>35.4+G9</f>
        <v>36.21</v>
      </c>
      <c r="J23" s="8"/>
      <c r="K23" s="8"/>
      <c r="L23" s="8"/>
    </row>
    <row r="24" spans="1:18" x14ac:dyDescent="0.3">
      <c r="A24" s="16">
        <v>19</v>
      </c>
      <c r="D24" s="20">
        <v>44075</v>
      </c>
      <c r="E24" s="9">
        <f>40.05+G9</f>
        <v>40.86</v>
      </c>
      <c r="F24" s="9">
        <f>35.17+G9</f>
        <v>35.980000000000004</v>
      </c>
      <c r="J24" s="8"/>
      <c r="K24" s="8"/>
      <c r="L24" s="8"/>
    </row>
    <row r="25" spans="1:18" x14ac:dyDescent="0.3">
      <c r="A25" s="16">
        <v>20</v>
      </c>
      <c r="D25" s="15"/>
      <c r="E25" s="9"/>
      <c r="F25" s="9"/>
      <c r="J25" s="8"/>
      <c r="K25" s="8"/>
    </row>
    <row r="26" spans="1:18" x14ac:dyDescent="0.3">
      <c r="A26" s="16">
        <v>21</v>
      </c>
      <c r="B26" s="7" t="s">
        <v>158</v>
      </c>
      <c r="J26" s="8"/>
      <c r="K26" s="8"/>
    </row>
    <row r="27" spans="1:18" x14ac:dyDescent="0.3">
      <c r="A27" s="16">
        <v>22</v>
      </c>
      <c r="C27" t="s">
        <v>156</v>
      </c>
      <c r="G27" s="6">
        <f>SUM('Sum of Billing Determinants'!C9:N9)</f>
        <v>44625581.025000006</v>
      </c>
      <c r="H27" s="3"/>
    </row>
    <row r="28" spans="1:18" x14ac:dyDescent="0.3">
      <c r="A28" s="16">
        <v>23</v>
      </c>
      <c r="C28" t="s">
        <v>159</v>
      </c>
      <c r="G28" s="12">
        <f>ROUND(G7/G27, 2)</f>
        <v>0.67</v>
      </c>
      <c r="R28" s="3"/>
    </row>
    <row r="29" spans="1:18" x14ac:dyDescent="0.3">
      <c r="A29" s="16">
        <v>24</v>
      </c>
      <c r="M29" s="3"/>
    </row>
    <row r="30" spans="1:18" x14ac:dyDescent="0.3">
      <c r="A30" s="16">
        <v>25</v>
      </c>
      <c r="C30" t="s">
        <v>143</v>
      </c>
      <c r="G30" s="3">
        <f>-15.19-G28</f>
        <v>-15.86</v>
      </c>
      <c r="Q30" s="2"/>
    </row>
    <row r="31" spans="1:18" x14ac:dyDescent="0.3">
      <c r="A31" s="16">
        <v>26</v>
      </c>
      <c r="C31" t="s">
        <v>144</v>
      </c>
      <c r="G31" s="3">
        <f>-14.84-G28</f>
        <v>-15.51</v>
      </c>
    </row>
    <row r="32" spans="1:18" x14ac:dyDescent="0.3">
      <c r="A32" s="16"/>
    </row>
    <row r="33" spans="1:2" x14ac:dyDescent="0.3">
      <c r="A33" s="16"/>
      <c r="B33" s="4"/>
    </row>
    <row r="34" spans="1:2" x14ac:dyDescent="0.3">
      <c r="A34" s="16"/>
      <c r="B34" s="4"/>
    </row>
    <row r="35" spans="1:2" x14ac:dyDescent="0.3">
      <c r="A35" s="16"/>
    </row>
    <row r="36" spans="1:2" x14ac:dyDescent="0.3">
      <c r="A36" s="16"/>
    </row>
    <row r="37" spans="1:2" x14ac:dyDescent="0.3">
      <c r="A37" s="16"/>
    </row>
    <row r="38" spans="1:2" x14ac:dyDescent="0.3">
      <c r="A38" s="16"/>
    </row>
  </sheetData>
  <hyperlinks>
    <hyperlink ref="A2" r:id="rId1"/>
  </hyperlinks>
  <printOptions gridLines="1"/>
  <pageMargins left="0.25" right="0.25" top="0.75" bottom="0.75" header="0.3" footer="0.3"/>
  <pageSetup scale="92" orientation="landscape" r:id="rId2"/>
  <headerFooter>
    <oddHeader>&amp;LFinal FY 2020 Power FRP Surcharge Rate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49"/>
  <sheetViews>
    <sheetView zoomScaleNormal="100" workbookViewId="0">
      <selection activeCell="B5" sqref="B5"/>
    </sheetView>
  </sheetViews>
  <sheetFormatPr defaultColWidth="9.109375" defaultRowHeight="14.4" x14ac:dyDescent="0.3"/>
  <cols>
    <col min="1" max="1" width="5" style="23" customWidth="1"/>
    <col min="2" max="2" width="34.33203125" style="23" customWidth="1"/>
    <col min="3" max="15" width="11.33203125" style="23" customWidth="1"/>
    <col min="16" max="16" width="3.5546875" style="23" customWidth="1"/>
    <col min="17" max="17" width="3.88671875" style="24" customWidth="1"/>
    <col min="18" max="18" width="6" style="23" bestFit="1" customWidth="1"/>
    <col min="19" max="19" width="35.33203125" style="23" bestFit="1" customWidth="1"/>
    <col min="20" max="25" width="11" style="23" bestFit="1" customWidth="1"/>
    <col min="26" max="26" width="11.44140625" style="23" customWidth="1"/>
    <col min="27" max="27" width="11.5546875" style="23" customWidth="1"/>
    <col min="28" max="28" width="10.44140625" style="23" customWidth="1"/>
    <col min="29" max="29" width="9.5546875" style="23" bestFit="1" customWidth="1"/>
    <col min="30" max="30" width="9.109375" style="23"/>
    <col min="33" max="16384" width="9.109375" style="23"/>
  </cols>
  <sheetData>
    <row r="1" spans="1:29" x14ac:dyDescent="0.3">
      <c r="A1" s="22" t="s">
        <v>176</v>
      </c>
    </row>
    <row r="2" spans="1:29" x14ac:dyDescent="0.3">
      <c r="C2" s="26">
        <v>43739</v>
      </c>
      <c r="D2" s="26">
        <v>43770</v>
      </c>
      <c r="E2" s="26">
        <v>43800</v>
      </c>
      <c r="F2" s="26">
        <v>43831</v>
      </c>
      <c r="G2" s="26">
        <v>43862</v>
      </c>
      <c r="H2" s="26">
        <v>43891</v>
      </c>
      <c r="I2" s="26">
        <v>43922</v>
      </c>
      <c r="J2" s="26">
        <v>43952</v>
      </c>
      <c r="K2" s="26">
        <v>43983</v>
      </c>
      <c r="L2" s="26">
        <v>44013</v>
      </c>
      <c r="M2" s="26">
        <v>44044</v>
      </c>
      <c r="N2" s="26">
        <v>44075</v>
      </c>
      <c r="O2" s="25" t="s">
        <v>138</v>
      </c>
      <c r="P2" s="25"/>
    </row>
    <row r="3" spans="1:29" x14ac:dyDescent="0.3">
      <c r="A3" s="32"/>
      <c r="B3" s="33" t="s">
        <v>174</v>
      </c>
      <c r="C3" s="34">
        <v>3009065.3879999998</v>
      </c>
      <c r="D3" s="34">
        <v>3677367.5279999999</v>
      </c>
      <c r="E3" s="34">
        <v>3598456.6720000003</v>
      </c>
      <c r="F3" s="34">
        <v>3035580.6720000003</v>
      </c>
      <c r="G3" s="34">
        <v>2760597.1239999998</v>
      </c>
      <c r="H3" s="34">
        <v>3094593.8159999996</v>
      </c>
      <c r="I3" s="34">
        <v>2493584.7439999999</v>
      </c>
      <c r="J3" s="34">
        <v>3468087.1</v>
      </c>
      <c r="K3" s="34">
        <v>4425608.2439999999</v>
      </c>
      <c r="L3" s="34">
        <v>3680313.2439999999</v>
      </c>
      <c r="M3" s="34">
        <v>3567762.7439999999</v>
      </c>
      <c r="N3" s="34">
        <v>2993385.6</v>
      </c>
      <c r="O3" s="34">
        <f>SUM(C3:N3)</f>
        <v>39804402.876000002</v>
      </c>
      <c r="P3" s="27"/>
    </row>
    <row r="4" spans="1:29" x14ac:dyDescent="0.3">
      <c r="A4" s="32"/>
      <c r="B4" s="33" t="s">
        <v>175</v>
      </c>
      <c r="C4" s="34">
        <v>1608251.808</v>
      </c>
      <c r="D4" s="34">
        <v>2188065.7110000001</v>
      </c>
      <c r="E4" s="34">
        <v>2196143.5240000002</v>
      </c>
      <c r="F4" s="34">
        <v>1794571.524</v>
      </c>
      <c r="G4" s="34">
        <v>1615019.676</v>
      </c>
      <c r="H4" s="34">
        <v>1772482.121</v>
      </c>
      <c r="I4" s="34">
        <v>1469193.736</v>
      </c>
      <c r="J4" s="34">
        <v>1876310.5959999999</v>
      </c>
      <c r="K4" s="34">
        <v>2393479.736</v>
      </c>
      <c r="L4" s="34">
        <v>1666067.952</v>
      </c>
      <c r="M4" s="34">
        <v>1638547.952</v>
      </c>
      <c r="N4" s="34">
        <v>1680773.88</v>
      </c>
      <c r="O4" s="34">
        <f>SUM(C4:N4)</f>
        <v>21898908.215999998</v>
      </c>
      <c r="P4" s="27"/>
    </row>
    <row r="5" spans="1:29" x14ac:dyDescent="0.3">
      <c r="A5" s="32"/>
      <c r="B5" s="35" t="s">
        <v>136</v>
      </c>
      <c r="C5" s="36">
        <f>SUM(C13:C146)</f>
        <v>3331486.697999998</v>
      </c>
      <c r="D5" s="36">
        <f>SUM(D13:D146)</f>
        <v>4232027.3949999986</v>
      </c>
      <c r="E5" s="36">
        <f t="shared" ref="E5:N5" si="0">SUM(E13:E146)</f>
        <v>4180919.9310000008</v>
      </c>
      <c r="F5" s="36">
        <f t="shared" si="0"/>
        <v>3485051.4079999984</v>
      </c>
      <c r="G5" s="36">
        <f t="shared" si="0"/>
        <v>3157095.0380000002</v>
      </c>
      <c r="H5" s="36">
        <f t="shared" si="0"/>
        <v>3511692.6350000007</v>
      </c>
      <c r="I5" s="36">
        <f t="shared" si="0"/>
        <v>2859223.9279999998</v>
      </c>
      <c r="J5" s="36">
        <f t="shared" si="0"/>
        <v>3856089.8280000007</v>
      </c>
      <c r="K5" s="36">
        <f t="shared" si="0"/>
        <v>4920108.3630000046</v>
      </c>
      <c r="L5" s="36">
        <f t="shared" si="0"/>
        <v>3857520.9639999997</v>
      </c>
      <c r="M5" s="36">
        <f t="shared" si="0"/>
        <v>3756457.2899999991</v>
      </c>
      <c r="N5" s="36">
        <f t="shared" si="0"/>
        <v>3372499.5470000021</v>
      </c>
      <c r="O5" s="34">
        <f>SUM(C5:N5)</f>
        <v>44520173.025000006</v>
      </c>
      <c r="P5" s="27"/>
    </row>
    <row r="6" spans="1:29" x14ac:dyDescent="0.3">
      <c r="A6" s="32"/>
      <c r="B6" s="35" t="s">
        <v>139</v>
      </c>
      <c r="C6" s="36">
        <v>0</v>
      </c>
      <c r="D6" s="36">
        <v>0</v>
      </c>
      <c r="E6" s="36">
        <v>0</v>
      </c>
      <c r="F6" s="36">
        <v>0</v>
      </c>
      <c r="G6" s="36">
        <v>0</v>
      </c>
      <c r="H6" s="36">
        <v>0</v>
      </c>
      <c r="I6" s="36">
        <v>0</v>
      </c>
      <c r="J6" s="36">
        <v>0</v>
      </c>
      <c r="K6" s="36">
        <v>0</v>
      </c>
      <c r="L6" s="36">
        <v>0</v>
      </c>
      <c r="M6" s="36">
        <v>0</v>
      </c>
      <c r="N6" s="36">
        <v>0</v>
      </c>
      <c r="O6" s="34">
        <f t="shared" ref="O6:O8" si="1">SUM(C6:N6)</f>
        <v>0</v>
      </c>
      <c r="P6" s="27"/>
    </row>
    <row r="7" spans="1:29" x14ac:dyDescent="0.3">
      <c r="A7" s="32"/>
      <c r="B7" s="35" t="s">
        <v>140</v>
      </c>
      <c r="C7" s="36">
        <v>8928</v>
      </c>
      <c r="D7" s="36">
        <v>8652</v>
      </c>
      <c r="E7" s="36">
        <v>8928</v>
      </c>
      <c r="F7" s="36">
        <v>8928</v>
      </c>
      <c r="G7" s="36">
        <v>8352</v>
      </c>
      <c r="H7" s="36">
        <v>8916</v>
      </c>
      <c r="I7" s="36">
        <v>8640</v>
      </c>
      <c r="J7" s="36">
        <v>8928</v>
      </c>
      <c r="K7" s="36">
        <v>8640</v>
      </c>
      <c r="L7" s="36">
        <v>8928</v>
      </c>
      <c r="M7" s="36">
        <v>8928</v>
      </c>
      <c r="N7" s="36">
        <v>8640</v>
      </c>
      <c r="O7" s="34">
        <f t="shared" si="1"/>
        <v>105408</v>
      </c>
      <c r="P7" s="27"/>
    </row>
    <row r="8" spans="1:29" x14ac:dyDescent="0.3">
      <c r="A8" s="32"/>
      <c r="B8" s="35" t="s">
        <v>141</v>
      </c>
      <c r="C8" s="36">
        <v>0</v>
      </c>
      <c r="D8" s="36">
        <v>0</v>
      </c>
      <c r="E8" s="36">
        <v>0</v>
      </c>
      <c r="F8" s="36">
        <v>0</v>
      </c>
      <c r="G8" s="36">
        <v>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4">
        <f t="shared" si="1"/>
        <v>0</v>
      </c>
      <c r="P8" s="27"/>
    </row>
    <row r="9" spans="1:29" x14ac:dyDescent="0.3">
      <c r="A9" s="32"/>
      <c r="B9" s="35" t="s">
        <v>137</v>
      </c>
      <c r="C9" s="36">
        <f>SUM(C5:C8)</f>
        <v>3340414.697999998</v>
      </c>
      <c r="D9" s="36">
        <f t="shared" ref="D9:N9" si="2">SUM(D5:D8)</f>
        <v>4240679.3949999986</v>
      </c>
      <c r="E9" s="36">
        <f t="shared" si="2"/>
        <v>4189847.9310000008</v>
      </c>
      <c r="F9" s="36">
        <f t="shared" si="2"/>
        <v>3493979.4079999984</v>
      </c>
      <c r="G9" s="36">
        <f t="shared" si="2"/>
        <v>3165447.0380000002</v>
      </c>
      <c r="H9" s="36">
        <f t="shared" si="2"/>
        <v>3520608.6350000007</v>
      </c>
      <c r="I9" s="36">
        <f t="shared" si="2"/>
        <v>2867863.9279999998</v>
      </c>
      <c r="J9" s="36">
        <f t="shared" si="2"/>
        <v>3865017.8280000007</v>
      </c>
      <c r="K9" s="36">
        <f t="shared" si="2"/>
        <v>4928748.3630000046</v>
      </c>
      <c r="L9" s="36">
        <f t="shared" si="2"/>
        <v>3866448.9639999997</v>
      </c>
      <c r="M9" s="36">
        <f t="shared" si="2"/>
        <v>3765385.2899999991</v>
      </c>
      <c r="N9" s="36">
        <f t="shared" si="2"/>
        <v>3381139.5470000021</v>
      </c>
      <c r="O9" s="34">
        <f>SUM(C9:N9)</f>
        <v>44625581.025000006</v>
      </c>
      <c r="P9" s="27"/>
    </row>
    <row r="10" spans="1:29" x14ac:dyDescent="0.3">
      <c r="A10" s="32"/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4"/>
      <c r="P10" s="27"/>
    </row>
    <row r="11" spans="1:29" x14ac:dyDescent="0.3">
      <c r="A11" s="22" t="s">
        <v>177</v>
      </c>
      <c r="B11" s="33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2" t="s">
        <v>173</v>
      </c>
      <c r="R11" s="22"/>
    </row>
    <row r="12" spans="1:29" ht="36" x14ac:dyDescent="0.3">
      <c r="A12" s="22"/>
      <c r="B12"/>
      <c r="C12" s="26">
        <v>43739</v>
      </c>
      <c r="D12" s="26">
        <v>43770</v>
      </c>
      <c r="E12" s="26">
        <v>43800</v>
      </c>
      <c r="F12" s="26">
        <v>43831</v>
      </c>
      <c r="G12" s="26">
        <v>43862</v>
      </c>
      <c r="H12" s="26">
        <v>43891</v>
      </c>
      <c r="I12" s="26">
        <v>43922</v>
      </c>
      <c r="J12" s="26">
        <v>43952</v>
      </c>
      <c r="K12" s="26">
        <v>43983</v>
      </c>
      <c r="L12" s="26">
        <v>44013</v>
      </c>
      <c r="M12" s="26">
        <v>44044</v>
      </c>
      <c r="N12" s="26">
        <v>44075</v>
      </c>
      <c r="O12" s="25" t="s">
        <v>138</v>
      </c>
      <c r="P12" s="27"/>
      <c r="R12" s="25" t="s">
        <v>0</v>
      </c>
      <c r="S12" s="25" t="s">
        <v>1</v>
      </c>
      <c r="T12" s="25" t="s">
        <v>162</v>
      </c>
      <c r="U12" s="25" t="s">
        <v>163</v>
      </c>
      <c r="V12" s="25" t="s">
        <v>164</v>
      </c>
      <c r="W12" s="25" t="s">
        <v>165</v>
      </c>
      <c r="X12" s="25" t="s">
        <v>166</v>
      </c>
      <c r="Y12" s="25" t="s">
        <v>167</v>
      </c>
      <c r="Z12" s="25" t="s">
        <v>168</v>
      </c>
      <c r="AA12" s="25" t="s">
        <v>169</v>
      </c>
      <c r="AB12" s="25" t="s">
        <v>170</v>
      </c>
      <c r="AC12" s="25" t="s">
        <v>172</v>
      </c>
    </row>
    <row r="13" spans="1:29" x14ac:dyDescent="0.3">
      <c r="A13" s="27">
        <f>R13</f>
        <v>10005</v>
      </c>
      <c r="B13" s="27" t="str">
        <f>S13</f>
        <v>Alder Mutual</v>
      </c>
      <c r="C13" s="38">
        <f>ROUND(C$3*$V13, 3)+ROUND(C$4*$V13,3)</f>
        <v>357.38099999999997</v>
      </c>
      <c r="D13" s="38">
        <f t="shared" ref="D13:N13" si="3">ROUND(D$3*$V13, 3)+ROUND(D$4*$V13,3)</f>
        <v>453.98399999999998</v>
      </c>
      <c r="E13" s="38">
        <f t="shared" si="3"/>
        <v>448.50300000000004</v>
      </c>
      <c r="F13" s="38">
        <f t="shared" si="3"/>
        <v>373.85400000000004</v>
      </c>
      <c r="G13" s="38">
        <f t="shared" si="3"/>
        <v>338.673</v>
      </c>
      <c r="H13" s="38">
        <f t="shared" si="3"/>
        <v>376.71199999999999</v>
      </c>
      <c r="I13" s="38">
        <f t="shared" si="3"/>
        <v>306.71899999999999</v>
      </c>
      <c r="J13" s="38">
        <f t="shared" si="3"/>
        <v>413.65600000000001</v>
      </c>
      <c r="K13" s="38">
        <f t="shared" si="3"/>
        <v>527.79700000000003</v>
      </c>
      <c r="L13" s="38">
        <f t="shared" si="3"/>
        <v>413.81</v>
      </c>
      <c r="M13" s="38">
        <f t="shared" si="3"/>
        <v>402.96899999999999</v>
      </c>
      <c r="N13" s="38">
        <f t="shared" si="3"/>
        <v>361.78</v>
      </c>
      <c r="O13" s="39">
        <f>SUM(C13:N13)</f>
        <v>4775.8379999999997</v>
      </c>
      <c r="P13" s="27"/>
      <c r="R13" s="27">
        <v>10005</v>
      </c>
      <c r="S13" s="27" t="s">
        <v>2</v>
      </c>
      <c r="T13" s="28">
        <v>7.7399999999999998E-5</v>
      </c>
      <c r="U13" s="28">
        <v>7.7600000000000002E-5</v>
      </c>
      <c r="V13" s="28">
        <v>7.7399999999999998E-5</v>
      </c>
      <c r="W13" s="28">
        <v>7.7600000000000002E-5</v>
      </c>
      <c r="X13" s="28">
        <v>0</v>
      </c>
      <c r="Y13" s="28">
        <v>0</v>
      </c>
      <c r="Z13" s="29">
        <v>0.54500000000000004</v>
      </c>
      <c r="AA13" s="29">
        <v>0.54400000000000004</v>
      </c>
      <c r="AB13" s="29">
        <v>0.54500000000000004</v>
      </c>
      <c r="AC13" s="30">
        <v>0.03</v>
      </c>
    </row>
    <row r="14" spans="1:29" x14ac:dyDescent="0.3">
      <c r="A14" s="27">
        <f t="shared" ref="A14:A77" si="4">R14</f>
        <v>10015</v>
      </c>
      <c r="B14" s="27" t="str">
        <f t="shared" ref="B14:B77" si="5">S14</f>
        <v>Asotin County PUD #1</v>
      </c>
      <c r="C14" s="38">
        <f t="shared" ref="C14:N77" si="6">ROUND(C$3*$V14, 3)+ROUND(C$4*$V14,3)</f>
        <v>374.464</v>
      </c>
      <c r="D14" s="38">
        <f t="shared" si="6"/>
        <v>475.68700000000001</v>
      </c>
      <c r="E14" s="38">
        <f t="shared" si="6"/>
        <v>469.94200000000001</v>
      </c>
      <c r="F14" s="38">
        <f t="shared" si="6"/>
        <v>391.726</v>
      </c>
      <c r="G14" s="38">
        <f t="shared" si="6"/>
        <v>354.86199999999997</v>
      </c>
      <c r="H14" s="38">
        <f t="shared" si="6"/>
        <v>394.72</v>
      </c>
      <c r="I14" s="38">
        <f t="shared" si="6"/>
        <v>321.38200000000001</v>
      </c>
      <c r="J14" s="38">
        <f t="shared" si="6"/>
        <v>433.43100000000004</v>
      </c>
      <c r="K14" s="38">
        <f t="shared" si="6"/>
        <v>553.02800000000002</v>
      </c>
      <c r="L14" s="38">
        <f t="shared" si="6"/>
        <v>433.59100000000001</v>
      </c>
      <c r="M14" s="38">
        <f t="shared" si="6"/>
        <v>422.23199999999997</v>
      </c>
      <c r="N14" s="38">
        <f t="shared" si="6"/>
        <v>379.07500000000005</v>
      </c>
      <c r="O14" s="39">
        <f t="shared" ref="O14:O77" si="7">SUM(C14:N14)</f>
        <v>5004.1400000000003</v>
      </c>
      <c r="P14" s="27"/>
      <c r="R14" s="27">
        <v>10015</v>
      </c>
      <c r="S14" s="27" t="s">
        <v>3</v>
      </c>
      <c r="T14" s="28">
        <v>8.1100000000000006E-5</v>
      </c>
      <c r="U14" s="28">
        <v>8.1100000000000006E-5</v>
      </c>
      <c r="V14" s="28">
        <v>8.1100000000000006E-5</v>
      </c>
      <c r="W14" s="28">
        <v>8.1100000000000006E-5</v>
      </c>
      <c r="X14" s="28">
        <v>0</v>
      </c>
      <c r="Y14" s="28">
        <v>0</v>
      </c>
      <c r="Z14" s="29">
        <v>0.56999999999999995</v>
      </c>
      <c r="AA14" s="29">
        <v>0.56999999999999995</v>
      </c>
      <c r="AB14" s="29">
        <v>0.56999999999999995</v>
      </c>
      <c r="AC14" s="30">
        <v>0</v>
      </c>
    </row>
    <row r="15" spans="1:29" x14ac:dyDescent="0.3">
      <c r="A15" s="27">
        <f t="shared" si="4"/>
        <v>10024</v>
      </c>
      <c r="B15" s="27" t="str">
        <f t="shared" si="5"/>
        <v>Benton County PUD #1</v>
      </c>
      <c r="C15" s="38">
        <f t="shared" si="6"/>
        <v>68442.492999999988</v>
      </c>
      <c r="D15" s="38">
        <f t="shared" si="6"/>
        <v>86943.316999999995</v>
      </c>
      <c r="E15" s="38">
        <f t="shared" si="6"/>
        <v>85893.358000000007</v>
      </c>
      <c r="F15" s="38">
        <f t="shared" si="6"/>
        <v>71597.34599999999</v>
      </c>
      <c r="G15" s="38">
        <f t="shared" si="6"/>
        <v>64859.767999999996</v>
      </c>
      <c r="H15" s="38">
        <f t="shared" si="6"/>
        <v>72144.665999999997</v>
      </c>
      <c r="I15" s="38">
        <f t="shared" si="6"/>
        <v>58740.266000000003</v>
      </c>
      <c r="J15" s="38">
        <f t="shared" si="6"/>
        <v>79220.006999999998</v>
      </c>
      <c r="K15" s="38">
        <f t="shared" si="6"/>
        <v>101079.341</v>
      </c>
      <c r="L15" s="38">
        <f t="shared" si="6"/>
        <v>79249.407999999996</v>
      </c>
      <c r="M15" s="38">
        <f t="shared" si="6"/>
        <v>77173.142999999996</v>
      </c>
      <c r="N15" s="38">
        <f t="shared" si="6"/>
        <v>69285.066000000006</v>
      </c>
      <c r="O15" s="39">
        <f t="shared" si="7"/>
        <v>914628.179</v>
      </c>
      <c r="P15" s="27"/>
      <c r="R15" s="27">
        <v>10024</v>
      </c>
      <c r="S15" s="27" t="s">
        <v>4</v>
      </c>
      <c r="T15" s="28">
        <v>2.8502199999999998E-2</v>
      </c>
      <c r="U15" s="28">
        <v>2.8502199999999998E-2</v>
      </c>
      <c r="V15" s="28">
        <v>1.4822999999999998E-2</v>
      </c>
      <c r="W15" s="28">
        <v>1.4822999999999998E-2</v>
      </c>
      <c r="X15" s="28">
        <v>1.3679200000000001E-2</v>
      </c>
      <c r="Y15" s="28">
        <v>1.3679200000000001E-2</v>
      </c>
      <c r="Z15" s="29">
        <v>200.214</v>
      </c>
      <c r="AA15" s="29">
        <v>200.214</v>
      </c>
      <c r="AB15" s="29">
        <v>200.214</v>
      </c>
      <c r="AC15" s="30">
        <v>0</v>
      </c>
    </row>
    <row r="16" spans="1:29" x14ac:dyDescent="0.3">
      <c r="A16" s="27">
        <f t="shared" si="4"/>
        <v>10025</v>
      </c>
      <c r="B16" s="27" t="str">
        <f t="shared" si="5"/>
        <v>Benton REA</v>
      </c>
      <c r="C16" s="38">
        <f t="shared" si="6"/>
        <v>39007.095000000001</v>
      </c>
      <c r="D16" s="38">
        <f t="shared" si="6"/>
        <v>49551.18</v>
      </c>
      <c r="E16" s="38">
        <f t="shared" si="6"/>
        <v>48952.781999999999</v>
      </c>
      <c r="F16" s="38">
        <f t="shared" si="6"/>
        <v>40805.126000000004</v>
      </c>
      <c r="G16" s="38">
        <f t="shared" si="6"/>
        <v>36965.211000000003</v>
      </c>
      <c r="H16" s="38">
        <f t="shared" si="6"/>
        <v>41117.058000000005</v>
      </c>
      <c r="I16" s="38">
        <f t="shared" si="6"/>
        <v>33477.553</v>
      </c>
      <c r="J16" s="38">
        <f t="shared" si="6"/>
        <v>45149.472000000002</v>
      </c>
      <c r="K16" s="38">
        <f t="shared" si="6"/>
        <v>57607.654999999999</v>
      </c>
      <c r="L16" s="38">
        <f t="shared" si="6"/>
        <v>45166.228000000003</v>
      </c>
      <c r="M16" s="38">
        <f t="shared" si="6"/>
        <v>43982.913</v>
      </c>
      <c r="N16" s="38">
        <f t="shared" si="6"/>
        <v>39487.300000000003</v>
      </c>
      <c r="O16" s="39">
        <f t="shared" si="7"/>
        <v>521269.57300000009</v>
      </c>
      <c r="P16" s="27"/>
      <c r="R16" s="27">
        <v>10025</v>
      </c>
      <c r="S16" s="27" t="s">
        <v>5</v>
      </c>
      <c r="T16" s="28">
        <v>8.4480000000000006E-3</v>
      </c>
      <c r="U16" s="28">
        <v>8.4480000000000006E-3</v>
      </c>
      <c r="V16" s="28">
        <v>8.4480000000000006E-3</v>
      </c>
      <c r="W16" s="28">
        <v>8.4480000000000006E-3</v>
      </c>
      <c r="X16" s="28">
        <v>0</v>
      </c>
      <c r="Y16" s="28">
        <v>0</v>
      </c>
      <c r="Z16" s="29">
        <v>59.343000000000004</v>
      </c>
      <c r="AA16" s="29">
        <v>59.343000000000004</v>
      </c>
      <c r="AB16" s="29">
        <v>59.343000000000004</v>
      </c>
      <c r="AC16" s="30">
        <v>6.7239999999999994E-2</v>
      </c>
    </row>
    <row r="17" spans="1:29" x14ac:dyDescent="0.3">
      <c r="A17" s="27">
        <f t="shared" si="4"/>
        <v>10027</v>
      </c>
      <c r="B17" s="27" t="str">
        <f t="shared" si="5"/>
        <v>Big Bend Elec Coop</v>
      </c>
      <c r="C17" s="38">
        <f t="shared" si="6"/>
        <v>40010.9</v>
      </c>
      <c r="D17" s="38">
        <f t="shared" si="6"/>
        <v>50826.326000000001</v>
      </c>
      <c r="E17" s="38">
        <f t="shared" si="6"/>
        <v>50212.527999999998</v>
      </c>
      <c r="F17" s="38">
        <f t="shared" si="6"/>
        <v>41855.201000000001</v>
      </c>
      <c r="G17" s="38">
        <f t="shared" si="6"/>
        <v>37916.47</v>
      </c>
      <c r="H17" s="38">
        <f t="shared" si="6"/>
        <v>42175.16</v>
      </c>
      <c r="I17" s="38">
        <f t="shared" si="6"/>
        <v>34339.06</v>
      </c>
      <c r="J17" s="38">
        <f t="shared" si="6"/>
        <v>46311.343999999997</v>
      </c>
      <c r="K17" s="38">
        <f t="shared" si="6"/>
        <v>59090.125</v>
      </c>
      <c r="L17" s="38">
        <f t="shared" si="6"/>
        <v>46328.531000000003</v>
      </c>
      <c r="M17" s="38">
        <f t="shared" si="6"/>
        <v>45114.764000000003</v>
      </c>
      <c r="N17" s="38">
        <f t="shared" si="6"/>
        <v>40503.462</v>
      </c>
      <c r="O17" s="39">
        <f t="shared" si="7"/>
        <v>534683.87100000004</v>
      </c>
      <c r="P17" s="27"/>
      <c r="R17" s="27">
        <v>10027</v>
      </c>
      <c r="S17" s="27" t="s">
        <v>6</v>
      </c>
      <c r="T17" s="28">
        <v>8.6654000000000002E-3</v>
      </c>
      <c r="U17" s="28">
        <v>8.6654000000000002E-3</v>
      </c>
      <c r="V17" s="28">
        <v>8.6654000000000002E-3</v>
      </c>
      <c r="W17" s="28">
        <v>8.6654000000000002E-3</v>
      </c>
      <c r="X17" s="28">
        <v>0</v>
      </c>
      <c r="Y17" s="28">
        <v>0</v>
      </c>
      <c r="Z17" s="29">
        <v>60.87</v>
      </c>
      <c r="AA17" s="29">
        <v>60.87</v>
      </c>
      <c r="AB17" s="29">
        <v>60.87</v>
      </c>
      <c r="AC17" s="30">
        <v>7.4980000000000005E-2</v>
      </c>
    </row>
    <row r="18" spans="1:29" x14ac:dyDescent="0.3">
      <c r="A18" s="27">
        <f t="shared" si="4"/>
        <v>10029</v>
      </c>
      <c r="B18" s="27" t="str">
        <f t="shared" si="5"/>
        <v>Blachly Lane Elec Coop</v>
      </c>
      <c r="C18" s="38">
        <f t="shared" si="6"/>
        <v>11517.897999999999</v>
      </c>
      <c r="D18" s="38">
        <f t="shared" si="6"/>
        <v>14631.323</v>
      </c>
      <c r="E18" s="38">
        <f t="shared" si="6"/>
        <v>14454.630000000001</v>
      </c>
      <c r="F18" s="38">
        <f t="shared" si="6"/>
        <v>12048.815000000001</v>
      </c>
      <c r="G18" s="38">
        <f t="shared" si="6"/>
        <v>10914.977000000001</v>
      </c>
      <c r="H18" s="38">
        <f t="shared" si="6"/>
        <v>12140.921</v>
      </c>
      <c r="I18" s="38">
        <f t="shared" si="6"/>
        <v>9885.1509999999998</v>
      </c>
      <c r="J18" s="38">
        <f t="shared" si="6"/>
        <v>13331.6</v>
      </c>
      <c r="K18" s="38">
        <f t="shared" si="6"/>
        <v>17010.215</v>
      </c>
      <c r="L18" s="38">
        <f t="shared" si="6"/>
        <v>13336.547999999999</v>
      </c>
      <c r="M18" s="38">
        <f t="shared" si="6"/>
        <v>12987.142</v>
      </c>
      <c r="N18" s="38">
        <f t="shared" si="6"/>
        <v>11659.689999999999</v>
      </c>
      <c r="O18" s="39">
        <f t="shared" si="7"/>
        <v>153918.91</v>
      </c>
      <c r="R18" s="27">
        <v>10029</v>
      </c>
      <c r="S18" s="27" t="s">
        <v>7</v>
      </c>
      <c r="T18" s="28">
        <v>2.4945000000000002E-3</v>
      </c>
      <c r="U18" s="28">
        <v>2.4945000000000002E-3</v>
      </c>
      <c r="V18" s="28">
        <v>2.4945000000000002E-3</v>
      </c>
      <c r="W18" s="28">
        <v>2.4945000000000002E-3</v>
      </c>
      <c r="X18" s="28">
        <v>0</v>
      </c>
      <c r="Y18" s="28">
        <v>0</v>
      </c>
      <c r="Z18" s="29">
        <v>17.523</v>
      </c>
      <c r="AA18" s="29">
        <v>17.523</v>
      </c>
      <c r="AB18" s="29">
        <v>17.523</v>
      </c>
      <c r="AC18" s="30">
        <v>7.8509999999999996E-2</v>
      </c>
    </row>
    <row r="19" spans="1:29" x14ac:dyDescent="0.3">
      <c r="A19" s="27">
        <f t="shared" si="4"/>
        <v>10044</v>
      </c>
      <c r="B19" s="27" t="str">
        <f t="shared" si="5"/>
        <v>Canby, City of</v>
      </c>
      <c r="C19" s="38">
        <f t="shared" si="6"/>
        <v>13278.942000000001</v>
      </c>
      <c r="D19" s="38">
        <f t="shared" si="6"/>
        <v>16868.399000000001</v>
      </c>
      <c r="E19" s="38">
        <f t="shared" si="6"/>
        <v>16664.690999999999</v>
      </c>
      <c r="F19" s="38">
        <f t="shared" si="6"/>
        <v>13891.034</v>
      </c>
      <c r="G19" s="38">
        <f t="shared" si="6"/>
        <v>12583.835999999999</v>
      </c>
      <c r="H19" s="38">
        <f t="shared" si="6"/>
        <v>13997.223</v>
      </c>
      <c r="I19" s="38">
        <f t="shared" si="6"/>
        <v>11396.554</v>
      </c>
      <c r="J19" s="38">
        <f t="shared" si="6"/>
        <v>15369.954</v>
      </c>
      <c r="K19" s="38">
        <f t="shared" si="6"/>
        <v>19611.014999999999</v>
      </c>
      <c r="L19" s="38">
        <f t="shared" si="6"/>
        <v>15375.657999999999</v>
      </c>
      <c r="M19" s="38">
        <f t="shared" si="6"/>
        <v>14972.829000000002</v>
      </c>
      <c r="N19" s="38">
        <f t="shared" si="6"/>
        <v>13442.416000000001</v>
      </c>
      <c r="O19" s="39">
        <f t="shared" si="7"/>
        <v>177452.55099999998</v>
      </c>
      <c r="R19" s="27">
        <v>10044</v>
      </c>
      <c r="S19" s="27" t="s">
        <v>8</v>
      </c>
      <c r="T19" s="28">
        <v>2.8758999999999998E-3</v>
      </c>
      <c r="U19" s="28">
        <v>2.8758999999999998E-3</v>
      </c>
      <c r="V19" s="28">
        <v>2.8758999999999998E-3</v>
      </c>
      <c r="W19" s="28">
        <v>2.8758999999999998E-3</v>
      </c>
      <c r="X19" s="28">
        <v>0</v>
      </c>
      <c r="Y19" s="28">
        <v>0</v>
      </c>
      <c r="Z19" s="29">
        <v>20.202000000000002</v>
      </c>
      <c r="AA19" s="29">
        <v>20.202000000000002</v>
      </c>
      <c r="AB19" s="29">
        <v>20.202000000000002</v>
      </c>
      <c r="AC19" s="30">
        <v>0</v>
      </c>
    </row>
    <row r="20" spans="1:29" x14ac:dyDescent="0.3">
      <c r="A20" s="27">
        <f t="shared" si="4"/>
        <v>10046</v>
      </c>
      <c r="B20" s="27" t="str">
        <f t="shared" si="5"/>
        <v>Central Electric Coop</v>
      </c>
      <c r="C20" s="38">
        <f t="shared" si="6"/>
        <v>53517.475999999995</v>
      </c>
      <c r="D20" s="38">
        <f t="shared" si="6"/>
        <v>67983.89</v>
      </c>
      <c r="E20" s="38">
        <f t="shared" si="6"/>
        <v>67162.892999999996</v>
      </c>
      <c r="F20" s="38">
        <f t="shared" si="6"/>
        <v>55984.362000000001</v>
      </c>
      <c r="G20" s="38">
        <f t="shared" si="6"/>
        <v>50716.023999999998</v>
      </c>
      <c r="H20" s="38">
        <f t="shared" si="6"/>
        <v>56412.33</v>
      </c>
      <c r="I20" s="38">
        <f t="shared" si="6"/>
        <v>45930.979999999996</v>
      </c>
      <c r="J20" s="38">
        <f t="shared" si="6"/>
        <v>61944.775999999998</v>
      </c>
      <c r="K20" s="38">
        <f t="shared" si="6"/>
        <v>79037.320999999996</v>
      </c>
      <c r="L20" s="38">
        <f t="shared" si="6"/>
        <v>61967.765999999996</v>
      </c>
      <c r="M20" s="38">
        <f t="shared" si="6"/>
        <v>60344.264999999999</v>
      </c>
      <c r="N20" s="38">
        <f t="shared" si="6"/>
        <v>54176.313000000002</v>
      </c>
      <c r="O20" s="39">
        <f t="shared" si="7"/>
        <v>715178.39599999983</v>
      </c>
      <c r="R20" s="27">
        <v>10046</v>
      </c>
      <c r="S20" s="27" t="s">
        <v>9</v>
      </c>
      <c r="T20" s="28">
        <v>1.15906E-2</v>
      </c>
      <c r="U20" s="28">
        <v>1.15906E-2</v>
      </c>
      <c r="V20" s="28">
        <v>1.15906E-2</v>
      </c>
      <c r="W20" s="28">
        <v>1.15906E-2</v>
      </c>
      <c r="X20" s="28">
        <v>0</v>
      </c>
      <c r="Y20" s="28">
        <v>0</v>
      </c>
      <c r="Z20" s="29">
        <v>81.418000000000006</v>
      </c>
      <c r="AA20" s="29">
        <v>81.418000000000006</v>
      </c>
      <c r="AB20" s="29">
        <v>81.418000000000006</v>
      </c>
      <c r="AC20" s="30">
        <v>7.2330000000000005E-2</v>
      </c>
    </row>
    <row r="21" spans="1:29" x14ac:dyDescent="0.3">
      <c r="A21" s="27">
        <f t="shared" si="4"/>
        <v>10047</v>
      </c>
      <c r="B21" s="27" t="str">
        <f t="shared" si="5"/>
        <v>Central Lincoln PUD</v>
      </c>
      <c r="C21" s="38">
        <f t="shared" si="6"/>
        <v>101358.424</v>
      </c>
      <c r="D21" s="38">
        <f t="shared" si="6"/>
        <v>128756.818</v>
      </c>
      <c r="E21" s="38">
        <f t="shared" si="6"/>
        <v>127201.90399999999</v>
      </c>
      <c r="F21" s="38">
        <f t="shared" si="6"/>
        <v>106030.535</v>
      </c>
      <c r="G21" s="38">
        <f t="shared" si="6"/>
        <v>96052.665000000008</v>
      </c>
      <c r="H21" s="38">
        <f t="shared" si="6"/>
        <v>106841.07800000001</v>
      </c>
      <c r="I21" s="38">
        <f t="shared" si="6"/>
        <v>86990.120999999999</v>
      </c>
      <c r="J21" s="38">
        <f t="shared" si="6"/>
        <v>117319.149</v>
      </c>
      <c r="K21" s="38">
        <f t="shared" si="6"/>
        <v>149691.255</v>
      </c>
      <c r="L21" s="38">
        <f t="shared" si="6"/>
        <v>117362.69</v>
      </c>
      <c r="M21" s="38">
        <f t="shared" si="6"/>
        <v>114287.891</v>
      </c>
      <c r="N21" s="38">
        <f t="shared" si="6"/>
        <v>102606.21400000001</v>
      </c>
      <c r="O21" s="39">
        <f t="shared" si="7"/>
        <v>1354498.7439999999</v>
      </c>
      <c r="R21" s="27">
        <v>10047</v>
      </c>
      <c r="S21" s="27" t="s">
        <v>10</v>
      </c>
      <c r="T21" s="28">
        <v>2.19518E-2</v>
      </c>
      <c r="U21" s="28">
        <v>2.1999500000000002E-2</v>
      </c>
      <c r="V21" s="28">
        <v>2.19518E-2</v>
      </c>
      <c r="W21" s="28">
        <v>2.1999500000000002E-2</v>
      </c>
      <c r="X21" s="28">
        <v>0</v>
      </c>
      <c r="Y21" s="28">
        <v>0</v>
      </c>
      <c r="Z21" s="29">
        <v>155.84299999999999</v>
      </c>
      <c r="AA21" s="29">
        <v>154.20099999999999</v>
      </c>
      <c r="AB21" s="29">
        <v>154.536</v>
      </c>
      <c r="AC21" s="30">
        <v>0</v>
      </c>
    </row>
    <row r="22" spans="1:29" x14ac:dyDescent="0.3">
      <c r="A22" s="27">
        <f t="shared" si="4"/>
        <v>10055</v>
      </c>
      <c r="B22" s="27" t="str">
        <f t="shared" si="5"/>
        <v>Albion, City of</v>
      </c>
      <c r="C22" s="38">
        <f t="shared" si="6"/>
        <v>253.029</v>
      </c>
      <c r="D22" s="38">
        <f t="shared" si="6"/>
        <v>321.42600000000004</v>
      </c>
      <c r="E22" s="38">
        <f t="shared" si="6"/>
        <v>317.54399999999998</v>
      </c>
      <c r="F22" s="38">
        <f t="shared" si="6"/>
        <v>264.69299999999998</v>
      </c>
      <c r="G22" s="38">
        <f t="shared" si="6"/>
        <v>239.78399999999999</v>
      </c>
      <c r="H22" s="38">
        <f t="shared" si="6"/>
        <v>266.71600000000001</v>
      </c>
      <c r="I22" s="38">
        <f t="shared" si="6"/>
        <v>217.16</v>
      </c>
      <c r="J22" s="38">
        <f t="shared" si="6"/>
        <v>292.87299999999999</v>
      </c>
      <c r="K22" s="38">
        <f t="shared" si="6"/>
        <v>373.68600000000004</v>
      </c>
      <c r="L22" s="38">
        <f t="shared" si="6"/>
        <v>292.98200000000003</v>
      </c>
      <c r="M22" s="38">
        <f t="shared" si="6"/>
        <v>285.30500000000001</v>
      </c>
      <c r="N22" s="38">
        <f t="shared" si="6"/>
        <v>256.14400000000001</v>
      </c>
      <c r="O22" s="39">
        <f t="shared" si="7"/>
        <v>3381.3419999999996</v>
      </c>
      <c r="R22" s="27">
        <v>10055</v>
      </c>
      <c r="S22" s="27" t="s">
        <v>11</v>
      </c>
      <c r="T22" s="28">
        <v>5.4799999999999997E-5</v>
      </c>
      <c r="U22" s="28">
        <v>5.4799999999999997E-5</v>
      </c>
      <c r="V22" s="28">
        <v>5.4799999999999997E-5</v>
      </c>
      <c r="W22" s="28">
        <v>5.4799999999999997E-5</v>
      </c>
      <c r="X22" s="28">
        <v>0</v>
      </c>
      <c r="Y22" s="28">
        <v>0</v>
      </c>
      <c r="Z22" s="29">
        <v>0.39600000000000002</v>
      </c>
      <c r="AA22" s="29">
        <v>0.38500000000000001</v>
      </c>
      <c r="AB22" s="29">
        <v>0.38500000000000001</v>
      </c>
      <c r="AC22" s="30">
        <v>0</v>
      </c>
    </row>
    <row r="23" spans="1:29" x14ac:dyDescent="0.3">
      <c r="A23" s="27">
        <f t="shared" si="4"/>
        <v>10057</v>
      </c>
      <c r="B23" s="27" t="str">
        <f t="shared" si="5"/>
        <v>Ashland, City of</v>
      </c>
      <c r="C23" s="38">
        <f t="shared" si="6"/>
        <v>13140.422999999999</v>
      </c>
      <c r="D23" s="38">
        <f t="shared" si="6"/>
        <v>16692.436000000002</v>
      </c>
      <c r="E23" s="38">
        <f t="shared" si="6"/>
        <v>16490.852999999999</v>
      </c>
      <c r="F23" s="38">
        <f>ROUND(F$3*$V23, 3)+ROUND(F$4*$V23,3)</f>
        <v>13746.130000000001</v>
      </c>
      <c r="G23" s="38">
        <f t="shared" si="6"/>
        <v>12452.566999999999</v>
      </c>
      <c r="H23" s="38">
        <f t="shared" si="6"/>
        <v>13851.212</v>
      </c>
      <c r="I23" s="38">
        <f t="shared" si="6"/>
        <v>11277.671</v>
      </c>
      <c r="J23" s="38">
        <f t="shared" si="6"/>
        <v>15209.620999999999</v>
      </c>
      <c r="K23" s="38">
        <f t="shared" si="6"/>
        <v>19406.442999999999</v>
      </c>
      <c r="L23" s="38">
        <f t="shared" si="6"/>
        <v>15215.266</v>
      </c>
      <c r="M23" s="38">
        <f t="shared" si="6"/>
        <v>14816.64</v>
      </c>
      <c r="N23" s="38">
        <f t="shared" si="6"/>
        <v>13302.19</v>
      </c>
      <c r="O23" s="39">
        <f t="shared" si="7"/>
        <v>175601.45199999999</v>
      </c>
      <c r="R23" s="27">
        <v>10057</v>
      </c>
      <c r="S23" s="27" t="s">
        <v>12</v>
      </c>
      <c r="T23" s="28">
        <v>2.8459000000000002E-3</v>
      </c>
      <c r="U23" s="28">
        <v>2.8449E-3</v>
      </c>
      <c r="V23" s="28">
        <v>2.8459000000000002E-3</v>
      </c>
      <c r="W23" s="28">
        <v>2.8449E-3</v>
      </c>
      <c r="X23" s="28">
        <v>0</v>
      </c>
      <c r="Y23" s="28">
        <v>0</v>
      </c>
      <c r="Z23" s="29">
        <v>20.957000000000001</v>
      </c>
      <c r="AA23" s="29">
        <v>19.991</v>
      </c>
      <c r="AB23" s="29">
        <v>19.984000000000002</v>
      </c>
      <c r="AC23" s="30">
        <v>0</v>
      </c>
    </row>
    <row r="24" spans="1:29" x14ac:dyDescent="0.3">
      <c r="A24" s="27">
        <f t="shared" si="4"/>
        <v>10059</v>
      </c>
      <c r="B24" s="27" t="str">
        <f t="shared" si="5"/>
        <v>Bandon, City of</v>
      </c>
      <c r="C24" s="38">
        <f t="shared" si="6"/>
        <v>4906.3609999999999</v>
      </c>
      <c r="D24" s="38">
        <f t="shared" si="6"/>
        <v>6232.6100000000006</v>
      </c>
      <c r="E24" s="38">
        <f t="shared" si="6"/>
        <v>6157.3419999999996</v>
      </c>
      <c r="F24" s="38">
        <f t="shared" si="6"/>
        <v>5132.5200000000004</v>
      </c>
      <c r="G24" s="38">
        <f t="shared" si="6"/>
        <v>4649.5309999999999</v>
      </c>
      <c r="H24" s="38">
        <f t="shared" si="6"/>
        <v>5171.7550000000001</v>
      </c>
      <c r="I24" s="38">
        <f t="shared" si="6"/>
        <v>4210.848</v>
      </c>
      <c r="J24" s="38">
        <f t="shared" si="6"/>
        <v>5678.9570000000003</v>
      </c>
      <c r="K24" s="38">
        <f t="shared" si="6"/>
        <v>7245.9629999999997</v>
      </c>
      <c r="L24" s="38">
        <f t="shared" si="6"/>
        <v>5681.0650000000005</v>
      </c>
      <c r="M24" s="38">
        <f t="shared" si="6"/>
        <v>5532.2260000000006</v>
      </c>
      <c r="N24" s="38">
        <f t="shared" si="6"/>
        <v>4966.7619999999997</v>
      </c>
      <c r="O24" s="39">
        <f t="shared" si="7"/>
        <v>65565.94</v>
      </c>
      <c r="R24" s="27">
        <v>10059</v>
      </c>
      <c r="S24" s="27" t="s">
        <v>13</v>
      </c>
      <c r="T24" s="28">
        <v>1.0625999999999999E-3</v>
      </c>
      <c r="U24" s="28">
        <v>1.0647E-3</v>
      </c>
      <c r="V24" s="28">
        <v>1.0625999999999999E-3</v>
      </c>
      <c r="W24" s="28">
        <v>1.0647E-3</v>
      </c>
      <c r="X24" s="28">
        <v>0</v>
      </c>
      <c r="Y24" s="28">
        <v>0</v>
      </c>
      <c r="Z24" s="29">
        <v>7.5990000000000002</v>
      </c>
      <c r="AA24" s="29">
        <v>7.4640000000000004</v>
      </c>
      <c r="AB24" s="29">
        <v>7.4790000000000001</v>
      </c>
      <c r="AC24" s="30">
        <v>0</v>
      </c>
    </row>
    <row r="25" spans="1:29" x14ac:dyDescent="0.3">
      <c r="A25" s="27">
        <f t="shared" si="4"/>
        <v>10061</v>
      </c>
      <c r="B25" s="27" t="str">
        <f t="shared" si="5"/>
        <v>Blaine, City of</v>
      </c>
      <c r="C25" s="38">
        <f t="shared" si="6"/>
        <v>5718.5469999999996</v>
      </c>
      <c r="D25" s="38">
        <f t="shared" si="6"/>
        <v>7264.3389999999999</v>
      </c>
      <c r="E25" s="38">
        <f t="shared" si="6"/>
        <v>7176.6130000000003</v>
      </c>
      <c r="F25" s="38">
        <f t="shared" si="6"/>
        <v>5982.1440000000002</v>
      </c>
      <c r="G25" s="38">
        <f t="shared" si="6"/>
        <v>5419.2020000000002</v>
      </c>
      <c r="H25" s="38">
        <f t="shared" si="6"/>
        <v>6027.8729999999996</v>
      </c>
      <c r="I25" s="38">
        <f t="shared" si="6"/>
        <v>4907.9009999999998</v>
      </c>
      <c r="J25" s="38">
        <f t="shared" si="6"/>
        <v>6619.0370000000003</v>
      </c>
      <c r="K25" s="38">
        <f t="shared" si="6"/>
        <v>8445.4409999999989</v>
      </c>
      <c r="L25" s="38">
        <f t="shared" si="6"/>
        <v>6621.4930000000004</v>
      </c>
      <c r="M25" s="38">
        <f t="shared" si="6"/>
        <v>6448.0159999999996</v>
      </c>
      <c r="N25" s="38">
        <f t="shared" si="6"/>
        <v>5788.9459999999999</v>
      </c>
      <c r="O25" s="39">
        <f t="shared" si="7"/>
        <v>76419.551999999996</v>
      </c>
      <c r="R25" s="27">
        <v>10061</v>
      </c>
      <c r="S25" s="27" t="s">
        <v>14</v>
      </c>
      <c r="T25" s="28">
        <v>1.2385E-3</v>
      </c>
      <c r="U25" s="28">
        <v>1.2385E-3</v>
      </c>
      <c r="V25" s="28">
        <v>1.2385E-3</v>
      </c>
      <c r="W25" s="28">
        <v>1.2385E-3</v>
      </c>
      <c r="X25" s="28">
        <v>0</v>
      </c>
      <c r="Y25" s="28">
        <v>0</v>
      </c>
      <c r="Z25" s="29">
        <v>8.6999999999999993</v>
      </c>
      <c r="AA25" s="29">
        <v>8.6999999999999993</v>
      </c>
      <c r="AB25" s="29">
        <v>8.6999999999999993</v>
      </c>
      <c r="AC25" s="30">
        <v>0</v>
      </c>
    </row>
    <row r="26" spans="1:29" x14ac:dyDescent="0.3">
      <c r="A26" s="27">
        <f t="shared" si="4"/>
        <v>10062</v>
      </c>
      <c r="B26" s="27" t="str">
        <f t="shared" si="5"/>
        <v>Bonners Ferry, City of</v>
      </c>
      <c r="C26" s="38">
        <f t="shared" si="6"/>
        <v>3477.7629999999999</v>
      </c>
      <c r="D26" s="38">
        <f t="shared" si="6"/>
        <v>4417.8440000000001</v>
      </c>
      <c r="E26" s="38">
        <f t="shared" si="6"/>
        <v>4364.4930000000004</v>
      </c>
      <c r="F26" s="38">
        <f t="shared" si="6"/>
        <v>3638.0699999999997</v>
      </c>
      <c r="G26" s="38">
        <f t="shared" si="6"/>
        <v>3295.7150000000001</v>
      </c>
      <c r="H26" s="38">
        <f t="shared" si="6"/>
        <v>3665.8820000000001</v>
      </c>
      <c r="I26" s="38">
        <f t="shared" si="6"/>
        <v>2984.7649999999999</v>
      </c>
      <c r="J26" s="38">
        <f t="shared" si="6"/>
        <v>4025.4</v>
      </c>
      <c r="K26" s="38">
        <f t="shared" si="6"/>
        <v>5136.1369999999997</v>
      </c>
      <c r="L26" s="38">
        <f t="shared" si="6"/>
        <v>4026.8940000000002</v>
      </c>
      <c r="M26" s="38">
        <f t="shared" si="6"/>
        <v>3921.393</v>
      </c>
      <c r="N26" s="38">
        <f t="shared" si="6"/>
        <v>3520.5770000000002</v>
      </c>
      <c r="O26" s="39">
        <f t="shared" si="7"/>
        <v>46474.932999999997</v>
      </c>
      <c r="R26" s="27">
        <v>10062</v>
      </c>
      <c r="S26" s="27" t="s">
        <v>15</v>
      </c>
      <c r="T26" s="28">
        <v>7.5319999999999998E-4</v>
      </c>
      <c r="U26" s="28">
        <v>7.5319999999999998E-4</v>
      </c>
      <c r="V26" s="28">
        <v>7.5319999999999998E-4</v>
      </c>
      <c r="W26" s="28">
        <v>7.5319999999999998E-4</v>
      </c>
      <c r="X26" s="28">
        <v>0</v>
      </c>
      <c r="Y26" s="28">
        <v>0</v>
      </c>
      <c r="Z26" s="29">
        <v>5.2910000000000004</v>
      </c>
      <c r="AA26" s="29">
        <v>5.2910000000000004</v>
      </c>
      <c r="AB26" s="29">
        <v>5.2910000000000004</v>
      </c>
      <c r="AC26" s="30">
        <v>0</v>
      </c>
    </row>
    <row r="27" spans="1:29" x14ac:dyDescent="0.3">
      <c r="A27" s="27">
        <f t="shared" si="4"/>
        <v>10064</v>
      </c>
      <c r="B27" s="27" t="str">
        <f t="shared" si="5"/>
        <v>Burley, City of</v>
      </c>
      <c r="C27" s="38">
        <f t="shared" si="6"/>
        <v>9138.594000000001</v>
      </c>
      <c r="D27" s="38">
        <f t="shared" si="6"/>
        <v>11608.866</v>
      </c>
      <c r="E27" s="38">
        <f t="shared" si="6"/>
        <v>11468.671999999999</v>
      </c>
      <c r="F27" s="38">
        <f t="shared" si="6"/>
        <v>9559.8369999999995</v>
      </c>
      <c r="G27" s="38">
        <f t="shared" si="6"/>
        <v>8660.2210000000014</v>
      </c>
      <c r="H27" s="38">
        <f t="shared" si="6"/>
        <v>9632.9169999999995</v>
      </c>
      <c r="I27" s="38">
        <f t="shared" si="6"/>
        <v>7843.1309999999994</v>
      </c>
      <c r="J27" s="38">
        <f t="shared" si="6"/>
        <v>10577.632</v>
      </c>
      <c r="K27" s="38">
        <f t="shared" si="6"/>
        <v>13496.339</v>
      </c>
      <c r="L27" s="38">
        <f t="shared" si="6"/>
        <v>10581.558000000001</v>
      </c>
      <c r="M27" s="38">
        <f t="shared" si="6"/>
        <v>10304.33</v>
      </c>
      <c r="N27" s="38">
        <f t="shared" si="6"/>
        <v>9251.0969999999998</v>
      </c>
      <c r="O27" s="39">
        <f t="shared" si="7"/>
        <v>122123.194</v>
      </c>
      <c r="R27" s="27">
        <v>10064</v>
      </c>
      <c r="S27" s="27" t="s">
        <v>16</v>
      </c>
      <c r="T27" s="28">
        <v>1.9792E-3</v>
      </c>
      <c r="U27" s="28">
        <v>1.9826000000000002E-3</v>
      </c>
      <c r="V27" s="28">
        <v>1.9792E-3</v>
      </c>
      <c r="W27" s="28">
        <v>1.9826000000000002E-3</v>
      </c>
      <c r="X27" s="28">
        <v>0</v>
      </c>
      <c r="Y27" s="28">
        <v>0</v>
      </c>
      <c r="Z27" s="29">
        <v>13.99</v>
      </c>
      <c r="AA27" s="29">
        <v>13.903</v>
      </c>
      <c r="AB27" s="29">
        <v>13.927</v>
      </c>
      <c r="AC27" s="30">
        <v>0</v>
      </c>
    </row>
    <row r="28" spans="1:29" x14ac:dyDescent="0.3">
      <c r="A28" s="27">
        <f t="shared" si="4"/>
        <v>10065</v>
      </c>
      <c r="B28" s="27" t="str">
        <f t="shared" si="5"/>
        <v>Cascade Locks, City of</v>
      </c>
      <c r="C28" s="38">
        <f t="shared" si="6"/>
        <v>1554.65</v>
      </c>
      <c r="D28" s="38">
        <f t="shared" si="6"/>
        <v>1974.8920000000001</v>
      </c>
      <c r="E28" s="38">
        <f t="shared" si="6"/>
        <v>1951.0419999999999</v>
      </c>
      <c r="F28" s="38">
        <f t="shared" si="6"/>
        <v>1626.3119999999999</v>
      </c>
      <c r="G28" s="38">
        <f t="shared" si="6"/>
        <v>1473.27</v>
      </c>
      <c r="H28" s="38">
        <f t="shared" si="6"/>
        <v>1638.7449999999999</v>
      </c>
      <c r="I28" s="38">
        <f t="shared" si="6"/>
        <v>1334.268</v>
      </c>
      <c r="J28" s="38">
        <f t="shared" si="6"/>
        <v>1799.4589999999998</v>
      </c>
      <c r="K28" s="38">
        <f t="shared" si="6"/>
        <v>2295.9870000000001</v>
      </c>
      <c r="L28" s="38">
        <f t="shared" si="6"/>
        <v>1800.1260000000002</v>
      </c>
      <c r="M28" s="38">
        <f t="shared" si="6"/>
        <v>1752.9650000000001</v>
      </c>
      <c r="N28" s="38">
        <f t="shared" si="6"/>
        <v>1573.79</v>
      </c>
      <c r="O28" s="39">
        <f t="shared" si="7"/>
        <v>20775.506000000001</v>
      </c>
      <c r="R28" s="27">
        <v>10065</v>
      </c>
      <c r="S28" s="27" t="s">
        <v>17</v>
      </c>
      <c r="T28" s="28">
        <v>3.367E-4</v>
      </c>
      <c r="U28" s="28">
        <v>3.367E-4</v>
      </c>
      <c r="V28" s="28">
        <v>3.367E-4</v>
      </c>
      <c r="W28" s="28">
        <v>3.367E-4</v>
      </c>
      <c r="X28" s="28">
        <v>0</v>
      </c>
      <c r="Y28" s="28">
        <v>0</v>
      </c>
      <c r="Z28" s="29">
        <v>2.3650000000000002</v>
      </c>
      <c r="AA28" s="29">
        <v>2.3650000000000002</v>
      </c>
      <c r="AB28" s="29">
        <v>2.3650000000000002</v>
      </c>
      <c r="AC28" s="30">
        <v>5.2139999999999999E-2</v>
      </c>
    </row>
    <row r="29" spans="1:29" x14ac:dyDescent="0.3">
      <c r="A29" s="27">
        <f t="shared" si="4"/>
        <v>10066</v>
      </c>
      <c r="B29" s="27" t="str">
        <f t="shared" si="5"/>
        <v>Centralia, City of</v>
      </c>
      <c r="C29" s="38">
        <f t="shared" si="6"/>
        <v>15934.824000000001</v>
      </c>
      <c r="D29" s="38">
        <f t="shared" si="6"/>
        <v>20242.197</v>
      </c>
      <c r="E29" s="38">
        <f t="shared" si="6"/>
        <v>19997.744999999999</v>
      </c>
      <c r="F29" s="38">
        <f t="shared" si="6"/>
        <v>16669.338</v>
      </c>
      <c r="G29" s="38">
        <f t="shared" si="6"/>
        <v>15100.690999999999</v>
      </c>
      <c r="H29" s="38">
        <f t="shared" si="6"/>
        <v>16796.766</v>
      </c>
      <c r="I29" s="38">
        <f t="shared" si="6"/>
        <v>13675.945</v>
      </c>
      <c r="J29" s="38">
        <f t="shared" si="6"/>
        <v>18444.05</v>
      </c>
      <c r="K29" s="38">
        <f t="shared" si="6"/>
        <v>23533.355000000003</v>
      </c>
      <c r="L29" s="38">
        <f t="shared" si="6"/>
        <v>18450.896000000001</v>
      </c>
      <c r="M29" s="38">
        <f t="shared" si="6"/>
        <v>17967.499</v>
      </c>
      <c r="N29" s="38">
        <f t="shared" si="6"/>
        <v>16130.992</v>
      </c>
      <c r="O29" s="39">
        <f t="shared" si="7"/>
        <v>212944.29800000004</v>
      </c>
      <c r="R29" s="27">
        <v>10066</v>
      </c>
      <c r="S29" s="27" t="s">
        <v>18</v>
      </c>
      <c r="T29" s="28">
        <v>3.4510999999999999E-3</v>
      </c>
      <c r="U29" s="28">
        <v>3.4510999999999999E-3</v>
      </c>
      <c r="V29" s="28">
        <v>3.4510999999999999E-3</v>
      </c>
      <c r="W29" s="28">
        <v>3.4510999999999999E-3</v>
      </c>
      <c r="X29" s="28">
        <v>0</v>
      </c>
      <c r="Y29" s="28">
        <v>0</v>
      </c>
      <c r="Z29" s="29">
        <v>24.242000000000001</v>
      </c>
      <c r="AA29" s="29">
        <v>24.242000000000001</v>
      </c>
      <c r="AB29" s="29">
        <v>24.242000000000001</v>
      </c>
      <c r="AC29" s="30">
        <v>0</v>
      </c>
    </row>
    <row r="30" spans="1:29" x14ac:dyDescent="0.3">
      <c r="A30" s="27">
        <f t="shared" si="4"/>
        <v>10067</v>
      </c>
      <c r="B30" s="27" t="str">
        <f t="shared" si="5"/>
        <v>Cheney, City of</v>
      </c>
      <c r="C30" s="38">
        <f t="shared" si="6"/>
        <v>10341.406000000001</v>
      </c>
      <c r="D30" s="38">
        <f t="shared" si="6"/>
        <v>13136.811000000002</v>
      </c>
      <c r="E30" s="38">
        <f t="shared" si="6"/>
        <v>12978.166000000001</v>
      </c>
      <c r="F30" s="38">
        <f t="shared" si="6"/>
        <v>10818.092000000001</v>
      </c>
      <c r="G30" s="38">
        <f t="shared" si="6"/>
        <v>9800.0689999999995</v>
      </c>
      <c r="H30" s="38">
        <f t="shared" si="6"/>
        <v>10900.79</v>
      </c>
      <c r="I30" s="38">
        <f t="shared" si="6"/>
        <v>8875.4349999999995</v>
      </c>
      <c r="J30" s="38">
        <f t="shared" si="6"/>
        <v>11969.848</v>
      </c>
      <c r="K30" s="38">
        <f t="shared" si="6"/>
        <v>15272.712</v>
      </c>
      <c r="L30" s="38">
        <f t="shared" si="6"/>
        <v>11974.29</v>
      </c>
      <c r="M30" s="38">
        <f t="shared" si="6"/>
        <v>11660.574000000001</v>
      </c>
      <c r="N30" s="38">
        <f t="shared" si="6"/>
        <v>10468.715</v>
      </c>
      <c r="O30" s="39">
        <f t="shared" si="7"/>
        <v>138196.908</v>
      </c>
      <c r="R30" s="27">
        <v>10067</v>
      </c>
      <c r="S30" s="27" t="s">
        <v>19</v>
      </c>
      <c r="T30" s="28">
        <v>2.2396999999999999E-3</v>
      </c>
      <c r="U30" s="28">
        <v>2.2396999999999999E-3</v>
      </c>
      <c r="V30" s="28">
        <v>2.2396999999999999E-3</v>
      </c>
      <c r="W30" s="28">
        <v>2.2396999999999999E-3</v>
      </c>
      <c r="X30" s="28">
        <v>0</v>
      </c>
      <c r="Y30" s="28">
        <v>0</v>
      </c>
      <c r="Z30" s="29">
        <v>15.733000000000001</v>
      </c>
      <c r="AA30" s="29">
        <v>15.733000000000001</v>
      </c>
      <c r="AB30" s="29">
        <v>15.733000000000001</v>
      </c>
      <c r="AC30" s="30">
        <v>0</v>
      </c>
    </row>
    <row r="31" spans="1:29" x14ac:dyDescent="0.3">
      <c r="A31" s="27">
        <f t="shared" si="4"/>
        <v>10068</v>
      </c>
      <c r="B31" s="27" t="str">
        <f t="shared" si="5"/>
        <v>Chewelah, City of</v>
      </c>
      <c r="C31" s="38">
        <f t="shared" si="6"/>
        <v>1679.318</v>
      </c>
      <c r="D31" s="38">
        <f t="shared" si="6"/>
        <v>2133.2579999999998</v>
      </c>
      <c r="E31" s="38">
        <f t="shared" si="6"/>
        <v>2107.4960000000001</v>
      </c>
      <c r="F31" s="38">
        <f t="shared" si="6"/>
        <v>1756.7269999999999</v>
      </c>
      <c r="G31" s="38">
        <f t="shared" si="6"/>
        <v>1591.412</v>
      </c>
      <c r="H31" s="38">
        <f t="shared" ref="D31:N46" si="8">ROUND(H$3*$V31, 3)+ROUND(H$4*$V31,3)</f>
        <v>1770.1559999999999</v>
      </c>
      <c r="I31" s="38">
        <f t="shared" si="8"/>
        <v>1441.2629999999999</v>
      </c>
      <c r="J31" s="38">
        <f t="shared" si="8"/>
        <v>1943.7570000000001</v>
      </c>
      <c r="K31" s="38">
        <f t="shared" si="8"/>
        <v>2480.1030000000001</v>
      </c>
      <c r="L31" s="38">
        <f t="shared" si="8"/>
        <v>1944.4789999999998</v>
      </c>
      <c r="M31" s="38">
        <f t="shared" si="8"/>
        <v>1893.5350000000001</v>
      </c>
      <c r="N31" s="38">
        <f t="shared" si="8"/>
        <v>1699.991</v>
      </c>
      <c r="O31" s="39">
        <f t="shared" si="7"/>
        <v>22441.494999999995</v>
      </c>
      <c r="R31" s="27">
        <v>10068</v>
      </c>
      <c r="S31" s="27" t="s">
        <v>20</v>
      </c>
      <c r="T31" s="28">
        <v>3.637E-4</v>
      </c>
      <c r="U31" s="28">
        <v>3.6420000000000002E-4</v>
      </c>
      <c r="V31" s="28">
        <v>3.637E-4</v>
      </c>
      <c r="W31" s="28">
        <v>3.6420000000000002E-4</v>
      </c>
      <c r="X31" s="28">
        <v>0</v>
      </c>
      <c r="Y31" s="28">
        <v>0</v>
      </c>
      <c r="Z31" s="29">
        <v>2.7549999999999999</v>
      </c>
      <c r="AA31" s="29">
        <v>2.5550000000000002</v>
      </c>
      <c r="AB31" s="29">
        <v>2.5579999999999998</v>
      </c>
      <c r="AC31" s="30">
        <v>0</v>
      </c>
    </row>
    <row r="32" spans="1:29" x14ac:dyDescent="0.3">
      <c r="A32" s="27">
        <f t="shared" si="4"/>
        <v>10070</v>
      </c>
      <c r="B32" s="27" t="str">
        <f t="shared" si="5"/>
        <v>Declo, City of</v>
      </c>
      <c r="C32" s="38">
        <f t="shared" si="6"/>
        <v>234.56</v>
      </c>
      <c r="D32" s="38">
        <f t="shared" si="8"/>
        <v>297.964</v>
      </c>
      <c r="E32" s="38">
        <f t="shared" si="8"/>
        <v>294.36599999999999</v>
      </c>
      <c r="F32" s="38">
        <f t="shared" si="8"/>
        <v>245.37099999999998</v>
      </c>
      <c r="G32" s="38">
        <f t="shared" si="8"/>
        <v>222.28100000000001</v>
      </c>
      <c r="H32" s="38">
        <f t="shared" si="8"/>
        <v>247.24700000000001</v>
      </c>
      <c r="I32" s="38">
        <f t="shared" si="8"/>
        <v>201.30900000000003</v>
      </c>
      <c r="J32" s="38">
        <f t="shared" si="8"/>
        <v>271.49599999999998</v>
      </c>
      <c r="K32" s="38">
        <f t="shared" si="8"/>
        <v>346.40999999999997</v>
      </c>
      <c r="L32" s="38">
        <f t="shared" si="8"/>
        <v>271.596</v>
      </c>
      <c r="M32" s="38">
        <f t="shared" si="8"/>
        <v>264.48</v>
      </c>
      <c r="N32" s="38">
        <f t="shared" si="8"/>
        <v>237.447</v>
      </c>
      <c r="O32" s="39">
        <f t="shared" si="7"/>
        <v>3134.527</v>
      </c>
      <c r="R32" s="27">
        <v>10070</v>
      </c>
      <c r="S32" s="27" t="s">
        <v>21</v>
      </c>
      <c r="T32" s="28">
        <v>5.0800000000000002E-5</v>
      </c>
      <c r="U32" s="28">
        <v>5.0800000000000002E-5</v>
      </c>
      <c r="V32" s="28">
        <v>5.0800000000000002E-5</v>
      </c>
      <c r="W32" s="28">
        <v>5.0800000000000002E-5</v>
      </c>
      <c r="X32" s="28">
        <v>0</v>
      </c>
      <c r="Y32" s="28">
        <v>0</v>
      </c>
      <c r="Z32" s="29">
        <v>0.35699999999999998</v>
      </c>
      <c r="AA32" s="29">
        <v>0.35699999999999998</v>
      </c>
      <c r="AB32" s="29">
        <v>0.35699999999999998</v>
      </c>
      <c r="AC32" s="30">
        <v>0</v>
      </c>
    </row>
    <row r="33" spans="1:29" x14ac:dyDescent="0.3">
      <c r="A33" s="27">
        <f t="shared" si="4"/>
        <v>10071</v>
      </c>
      <c r="B33" s="27" t="str">
        <f t="shared" si="5"/>
        <v>Drain, City of</v>
      </c>
      <c r="C33" s="38">
        <f t="shared" si="6"/>
        <v>1224.0509999999999</v>
      </c>
      <c r="D33" s="38">
        <f t="shared" si="8"/>
        <v>1554.9259999999999</v>
      </c>
      <c r="E33" s="38">
        <f t="shared" si="8"/>
        <v>1536.1489999999999</v>
      </c>
      <c r="F33" s="38">
        <f t="shared" si="8"/>
        <v>1280.473</v>
      </c>
      <c r="G33" s="38">
        <f t="shared" si="8"/>
        <v>1159.9759999999999</v>
      </c>
      <c r="H33" s="38">
        <f t="shared" si="8"/>
        <v>1290.2619999999999</v>
      </c>
      <c r="I33" s="38">
        <f t="shared" si="8"/>
        <v>1050.5319999999999</v>
      </c>
      <c r="J33" s="38">
        <f t="shared" si="8"/>
        <v>1416.8</v>
      </c>
      <c r="K33" s="38">
        <f t="shared" si="8"/>
        <v>1807.74</v>
      </c>
      <c r="L33" s="38">
        <f t="shared" si="8"/>
        <v>1417.326</v>
      </c>
      <c r="M33" s="38">
        <f t="shared" si="8"/>
        <v>1380.193</v>
      </c>
      <c r="N33" s="38">
        <f t="shared" si="8"/>
        <v>1239.1199999999999</v>
      </c>
      <c r="O33" s="39">
        <f t="shared" si="7"/>
        <v>16357.547999999995</v>
      </c>
      <c r="R33" s="27">
        <v>10071</v>
      </c>
      <c r="S33" s="27" t="s">
        <v>22</v>
      </c>
      <c r="T33" s="28">
        <v>2.6509999999999999E-4</v>
      </c>
      <c r="U33" s="28">
        <v>2.654E-4</v>
      </c>
      <c r="V33" s="28">
        <v>2.6509999999999999E-4</v>
      </c>
      <c r="W33" s="28">
        <v>2.654E-4</v>
      </c>
      <c r="X33" s="28">
        <v>0</v>
      </c>
      <c r="Y33" s="28">
        <v>0</v>
      </c>
      <c r="Z33" s="29">
        <v>1.9039999999999999</v>
      </c>
      <c r="AA33" s="29">
        <v>1.8620000000000001</v>
      </c>
      <c r="AB33" s="29">
        <v>1.8640000000000001</v>
      </c>
      <c r="AC33" s="30">
        <v>0</v>
      </c>
    </row>
    <row r="34" spans="1:29" x14ac:dyDescent="0.3">
      <c r="A34" s="27">
        <f t="shared" si="4"/>
        <v>10072</v>
      </c>
      <c r="B34" s="27" t="str">
        <f t="shared" si="5"/>
        <v>Ellensburg, City of</v>
      </c>
      <c r="C34" s="38">
        <f t="shared" si="6"/>
        <v>15680.409</v>
      </c>
      <c r="D34" s="38">
        <f t="shared" si="8"/>
        <v>19919.010999999999</v>
      </c>
      <c r="E34" s="38">
        <f t="shared" si="8"/>
        <v>19678.462</v>
      </c>
      <c r="F34" s="38">
        <f t="shared" si="8"/>
        <v>16403.197</v>
      </c>
      <c r="G34" s="38">
        <f t="shared" si="8"/>
        <v>14859.594999999999</v>
      </c>
      <c r="H34" s="38">
        <f t="shared" si="8"/>
        <v>16528.59</v>
      </c>
      <c r="I34" s="38">
        <f t="shared" si="8"/>
        <v>13457.596</v>
      </c>
      <c r="J34" s="38">
        <f t="shared" si="8"/>
        <v>18149.575000000001</v>
      </c>
      <c r="K34" s="38">
        <f t="shared" si="8"/>
        <v>23157.623</v>
      </c>
      <c r="L34" s="38">
        <f t="shared" si="8"/>
        <v>18156.310999999998</v>
      </c>
      <c r="M34" s="38">
        <f t="shared" si="8"/>
        <v>17680.631000000001</v>
      </c>
      <c r="N34" s="38">
        <f t="shared" si="8"/>
        <v>15873.445</v>
      </c>
      <c r="O34" s="39">
        <f t="shared" si="7"/>
        <v>209544.44499999998</v>
      </c>
      <c r="R34" s="27">
        <v>10072</v>
      </c>
      <c r="S34" s="27" t="s">
        <v>23</v>
      </c>
      <c r="T34" s="28">
        <v>3.3960000000000001E-3</v>
      </c>
      <c r="U34" s="28">
        <v>3.3960000000000001E-3</v>
      </c>
      <c r="V34" s="28">
        <v>3.3960000000000001E-3</v>
      </c>
      <c r="W34" s="28">
        <v>3.3960000000000001E-3</v>
      </c>
      <c r="X34" s="28">
        <v>0</v>
      </c>
      <c r="Y34" s="28">
        <v>0</v>
      </c>
      <c r="Z34" s="29">
        <v>23.855</v>
      </c>
      <c r="AA34" s="29">
        <v>23.855</v>
      </c>
      <c r="AB34" s="29">
        <v>23.855</v>
      </c>
      <c r="AC34" s="30">
        <v>0</v>
      </c>
    </row>
    <row r="35" spans="1:29" x14ac:dyDescent="0.3">
      <c r="A35" s="27">
        <f t="shared" si="4"/>
        <v>10074</v>
      </c>
      <c r="B35" s="27" t="str">
        <f t="shared" si="5"/>
        <v>Forest Grove, City of</v>
      </c>
      <c r="C35" s="38">
        <f t="shared" si="6"/>
        <v>17445.61</v>
      </c>
      <c r="D35" s="38">
        <f t="shared" si="8"/>
        <v>22161.366999999998</v>
      </c>
      <c r="E35" s="38">
        <f t="shared" si="8"/>
        <v>21893.738000000001</v>
      </c>
      <c r="F35" s="38">
        <f t="shared" si="8"/>
        <v>18249.764000000003</v>
      </c>
      <c r="G35" s="38">
        <f t="shared" si="8"/>
        <v>16532.393</v>
      </c>
      <c r="H35" s="38">
        <f t="shared" si="8"/>
        <v>18389.273000000001</v>
      </c>
      <c r="I35" s="38">
        <f t="shared" si="8"/>
        <v>14972.566000000001</v>
      </c>
      <c r="J35" s="38">
        <f t="shared" si="8"/>
        <v>20192.737000000001</v>
      </c>
      <c r="K35" s="38">
        <f t="shared" si="8"/>
        <v>25764.560000000001</v>
      </c>
      <c r="L35" s="38">
        <f t="shared" si="8"/>
        <v>20200.233</v>
      </c>
      <c r="M35" s="38">
        <f t="shared" si="8"/>
        <v>19671.004000000001</v>
      </c>
      <c r="N35" s="38">
        <f t="shared" si="8"/>
        <v>17660.377</v>
      </c>
      <c r="O35" s="39">
        <f t="shared" si="7"/>
        <v>233133.622</v>
      </c>
      <c r="R35" s="27">
        <v>10074</v>
      </c>
      <c r="S35" s="27" t="s">
        <v>24</v>
      </c>
      <c r="T35" s="28">
        <v>3.7783000000000001E-3</v>
      </c>
      <c r="U35" s="28">
        <v>3.7783000000000001E-3</v>
      </c>
      <c r="V35" s="28">
        <v>3.7783000000000001E-3</v>
      </c>
      <c r="W35" s="28">
        <v>3.7783000000000001E-3</v>
      </c>
      <c r="X35" s="28">
        <v>0</v>
      </c>
      <c r="Y35" s="28">
        <v>0</v>
      </c>
      <c r="Z35" s="29">
        <v>26.541</v>
      </c>
      <c r="AA35" s="29">
        <v>26.541</v>
      </c>
      <c r="AB35" s="29">
        <v>26.541</v>
      </c>
      <c r="AC35" s="30">
        <v>0</v>
      </c>
    </row>
    <row r="36" spans="1:29" x14ac:dyDescent="0.3">
      <c r="A36" s="27">
        <f t="shared" si="4"/>
        <v>10076</v>
      </c>
      <c r="B36" s="27" t="str">
        <f t="shared" si="5"/>
        <v>Heyburn, City of</v>
      </c>
      <c r="C36" s="38">
        <f t="shared" si="6"/>
        <v>3149.933</v>
      </c>
      <c r="D36" s="38">
        <f t="shared" si="8"/>
        <v>4001.3980000000001</v>
      </c>
      <c r="E36" s="38">
        <f t="shared" si="8"/>
        <v>3953.076</v>
      </c>
      <c r="F36" s="38">
        <f t="shared" si="8"/>
        <v>3295.13</v>
      </c>
      <c r="G36" s="38">
        <f t="shared" si="8"/>
        <v>2985.0450000000001</v>
      </c>
      <c r="H36" s="38">
        <f t="shared" si="8"/>
        <v>3320.319</v>
      </c>
      <c r="I36" s="38">
        <f t="shared" si="8"/>
        <v>2703.4079999999999</v>
      </c>
      <c r="J36" s="38">
        <f t="shared" si="8"/>
        <v>3645.9480000000003</v>
      </c>
      <c r="K36" s="38">
        <f t="shared" si="8"/>
        <v>4651.982</v>
      </c>
      <c r="L36" s="38">
        <f t="shared" si="8"/>
        <v>3647.3020000000001</v>
      </c>
      <c r="M36" s="38">
        <f t="shared" si="8"/>
        <v>3551.7449999999999</v>
      </c>
      <c r="N36" s="38">
        <f t="shared" si="8"/>
        <v>3188.712</v>
      </c>
      <c r="O36" s="39">
        <f t="shared" si="7"/>
        <v>42093.998000000007</v>
      </c>
      <c r="R36" s="27">
        <v>10076</v>
      </c>
      <c r="S36" s="27" t="s">
        <v>25</v>
      </c>
      <c r="T36" s="28">
        <v>6.8219999999999999E-4</v>
      </c>
      <c r="U36" s="28">
        <v>6.8219999999999999E-4</v>
      </c>
      <c r="V36" s="28">
        <v>6.8219999999999999E-4</v>
      </c>
      <c r="W36" s="28">
        <v>6.8219999999999999E-4</v>
      </c>
      <c r="X36" s="28">
        <v>0</v>
      </c>
      <c r="Y36" s="28">
        <v>0</v>
      </c>
      <c r="Z36" s="29">
        <v>4.7919999999999998</v>
      </c>
      <c r="AA36" s="29">
        <v>4.7919999999999998</v>
      </c>
      <c r="AB36" s="29">
        <v>4.7919999999999998</v>
      </c>
      <c r="AC36" s="30">
        <v>0</v>
      </c>
    </row>
    <row r="37" spans="1:29" x14ac:dyDescent="0.3">
      <c r="A37" s="27">
        <f t="shared" si="4"/>
        <v>10078</v>
      </c>
      <c r="B37" s="27" t="str">
        <f t="shared" si="5"/>
        <v>McCleary, City of</v>
      </c>
      <c r="C37" s="38">
        <f t="shared" si="6"/>
        <v>2430.556</v>
      </c>
      <c r="D37" s="38">
        <f t="shared" si="8"/>
        <v>3087.5640000000003</v>
      </c>
      <c r="E37" s="38">
        <f t="shared" si="8"/>
        <v>3050.2780000000002</v>
      </c>
      <c r="F37" s="38">
        <f t="shared" si="8"/>
        <v>2542.5920000000001</v>
      </c>
      <c r="G37" s="38">
        <f t="shared" si="8"/>
        <v>2303.3240000000001</v>
      </c>
      <c r="H37" s="38">
        <f t="shared" si="8"/>
        <v>2562.029</v>
      </c>
      <c r="I37" s="38">
        <f t="shared" si="8"/>
        <v>2086.0070000000001</v>
      </c>
      <c r="J37" s="38">
        <f t="shared" si="8"/>
        <v>2813.2910000000002</v>
      </c>
      <c r="K37" s="38">
        <f t="shared" si="8"/>
        <v>3589.5680000000002</v>
      </c>
      <c r="L37" s="38">
        <f t="shared" si="8"/>
        <v>2814.335</v>
      </c>
      <c r="M37" s="38">
        <f t="shared" si="8"/>
        <v>2740.6019999999999</v>
      </c>
      <c r="N37" s="38">
        <f t="shared" si="8"/>
        <v>2460.4769999999999</v>
      </c>
      <c r="O37" s="39">
        <f t="shared" si="7"/>
        <v>32480.623</v>
      </c>
      <c r="R37" s="27">
        <v>10078</v>
      </c>
      <c r="S37" s="27" t="s">
        <v>26</v>
      </c>
      <c r="T37" s="28">
        <v>5.264E-4</v>
      </c>
      <c r="U37" s="28">
        <v>5.264E-4</v>
      </c>
      <c r="V37" s="28">
        <v>5.264E-4</v>
      </c>
      <c r="W37" s="28">
        <v>5.264E-4</v>
      </c>
      <c r="X37" s="28">
        <v>0</v>
      </c>
      <c r="Y37" s="28">
        <v>0</v>
      </c>
      <c r="Z37" s="29">
        <v>3.698</v>
      </c>
      <c r="AA37" s="29">
        <v>3.698</v>
      </c>
      <c r="AB37" s="29">
        <v>3.698</v>
      </c>
      <c r="AC37" s="30">
        <v>0</v>
      </c>
    </row>
    <row r="38" spans="1:29" x14ac:dyDescent="0.3">
      <c r="A38" s="27">
        <f t="shared" si="4"/>
        <v>10079</v>
      </c>
      <c r="B38" s="27" t="str">
        <f t="shared" si="5"/>
        <v>McMinnville, City of</v>
      </c>
      <c r="C38" s="38">
        <f t="shared" si="6"/>
        <v>56930.135999999999</v>
      </c>
      <c r="D38" s="38">
        <f t="shared" si="8"/>
        <v>72319.032000000007</v>
      </c>
      <c r="E38" s="38">
        <f t="shared" si="8"/>
        <v>71445.682000000001</v>
      </c>
      <c r="F38" s="38">
        <f t="shared" si="8"/>
        <v>59554.327999999994</v>
      </c>
      <c r="G38" s="38">
        <f t="shared" si="8"/>
        <v>53950.042000000001</v>
      </c>
      <c r="H38" s="38">
        <f t="shared" si="8"/>
        <v>60009.585999999996</v>
      </c>
      <c r="I38" s="38">
        <f t="shared" si="8"/>
        <v>48859.869999999995</v>
      </c>
      <c r="J38" s="38">
        <f t="shared" si="8"/>
        <v>65894.820999999996</v>
      </c>
      <c r="K38" s="38">
        <f t="shared" si="8"/>
        <v>84077.308999999994</v>
      </c>
      <c r="L38" s="38">
        <f t="shared" si="8"/>
        <v>65919.275999999998</v>
      </c>
      <c r="M38" s="38">
        <f t="shared" si="8"/>
        <v>64192.249000000003</v>
      </c>
      <c r="N38" s="38">
        <f t="shared" si="8"/>
        <v>57630.983999999997</v>
      </c>
      <c r="O38" s="39">
        <f t="shared" si="7"/>
        <v>760783.31499999994</v>
      </c>
      <c r="R38" s="27">
        <v>10079</v>
      </c>
      <c r="S38" s="27" t="s">
        <v>27</v>
      </c>
      <c r="T38" s="28">
        <v>1.2329700000000001E-2</v>
      </c>
      <c r="U38" s="28">
        <v>1.24866E-2</v>
      </c>
      <c r="V38" s="28">
        <v>1.2329700000000001E-2</v>
      </c>
      <c r="W38" s="28">
        <v>1.24866E-2</v>
      </c>
      <c r="X38" s="28">
        <v>0</v>
      </c>
      <c r="Y38" s="28">
        <v>0</v>
      </c>
      <c r="Z38" s="29">
        <v>87.712000000000003</v>
      </c>
      <c r="AA38" s="29">
        <v>86.61</v>
      </c>
      <c r="AB38" s="29">
        <v>87.712000000000003</v>
      </c>
      <c r="AC38" s="30">
        <v>0</v>
      </c>
    </row>
    <row r="39" spans="1:29" x14ac:dyDescent="0.3">
      <c r="A39" s="27">
        <f t="shared" si="4"/>
        <v>10080</v>
      </c>
      <c r="B39" s="27" t="str">
        <f t="shared" si="5"/>
        <v>Milton, Town of</v>
      </c>
      <c r="C39" s="38">
        <f t="shared" si="6"/>
        <v>4528.2029999999995</v>
      </c>
      <c r="D39" s="38">
        <f t="shared" si="8"/>
        <v>5752.23</v>
      </c>
      <c r="E39" s="38">
        <f t="shared" si="8"/>
        <v>5682.7639999999992</v>
      </c>
      <c r="F39" s="38">
        <f t="shared" si="8"/>
        <v>4736.93</v>
      </c>
      <c r="G39" s="38">
        <f t="shared" si="8"/>
        <v>4291.1679999999997</v>
      </c>
      <c r="H39" s="38">
        <f t="shared" si="8"/>
        <v>4773.1409999999996</v>
      </c>
      <c r="I39" s="38">
        <f t="shared" si="8"/>
        <v>3886.2969999999996</v>
      </c>
      <c r="J39" s="38">
        <f t="shared" si="8"/>
        <v>5241.2510000000002</v>
      </c>
      <c r="K39" s="38">
        <f t="shared" si="8"/>
        <v>6687.4800000000005</v>
      </c>
      <c r="L39" s="38">
        <f t="shared" si="8"/>
        <v>5243.1959999999999</v>
      </c>
      <c r="M39" s="38">
        <f t="shared" si="8"/>
        <v>5105.8289999999997</v>
      </c>
      <c r="N39" s="38">
        <f t="shared" si="8"/>
        <v>4583.9480000000003</v>
      </c>
      <c r="O39" s="39">
        <f t="shared" si="7"/>
        <v>60512.437000000005</v>
      </c>
      <c r="R39" s="27">
        <v>10080</v>
      </c>
      <c r="S39" s="27" t="s">
        <v>28</v>
      </c>
      <c r="T39" s="28">
        <v>9.8069999999999993E-4</v>
      </c>
      <c r="U39" s="28">
        <v>9.8210000000000007E-4</v>
      </c>
      <c r="V39" s="28">
        <v>9.8069999999999993E-4</v>
      </c>
      <c r="W39" s="28">
        <v>9.8210000000000007E-4</v>
      </c>
      <c r="X39" s="28">
        <v>0</v>
      </c>
      <c r="Y39" s="28">
        <v>0</v>
      </c>
      <c r="Z39" s="29">
        <v>7.3979999999999997</v>
      </c>
      <c r="AA39" s="29">
        <v>6.8890000000000002</v>
      </c>
      <c r="AB39" s="29">
        <v>6.899</v>
      </c>
      <c r="AC39" s="30">
        <v>0</v>
      </c>
    </row>
    <row r="40" spans="1:29" x14ac:dyDescent="0.3">
      <c r="A40" s="27">
        <f t="shared" si="4"/>
        <v>10081</v>
      </c>
      <c r="B40" s="27" t="str">
        <f t="shared" si="5"/>
        <v>Milton-Freewater, City of</v>
      </c>
      <c r="C40" s="38">
        <f t="shared" si="6"/>
        <v>6224.6049999999996</v>
      </c>
      <c r="D40" s="38">
        <f t="shared" si="8"/>
        <v>7907.1900000000005</v>
      </c>
      <c r="E40" s="38">
        <f t="shared" si="8"/>
        <v>7811.7</v>
      </c>
      <c r="F40" s="38">
        <f t="shared" si="8"/>
        <v>6511.5280000000002</v>
      </c>
      <c r="G40" s="38">
        <f t="shared" si="8"/>
        <v>5898.7690000000002</v>
      </c>
      <c r="H40" s="38">
        <f t="shared" si="8"/>
        <v>6561.3050000000003</v>
      </c>
      <c r="I40" s="38">
        <f t="shared" si="8"/>
        <v>5342.2219999999998</v>
      </c>
      <c r="J40" s="38">
        <f t="shared" si="8"/>
        <v>7204.7820000000011</v>
      </c>
      <c r="K40" s="38">
        <f t="shared" si="8"/>
        <v>9192.8119999999999</v>
      </c>
      <c r="L40" s="38">
        <f t="shared" si="8"/>
        <v>7207.4560000000001</v>
      </c>
      <c r="M40" s="38">
        <f t="shared" si="8"/>
        <v>7018.6270000000004</v>
      </c>
      <c r="N40" s="38">
        <f t="shared" si="8"/>
        <v>6301.2340000000004</v>
      </c>
      <c r="O40" s="39">
        <f t="shared" si="7"/>
        <v>83182.23000000001</v>
      </c>
      <c r="R40" s="27">
        <v>10081</v>
      </c>
      <c r="S40" s="27" t="s">
        <v>29</v>
      </c>
      <c r="T40" s="28">
        <v>1.3481000000000001E-3</v>
      </c>
      <c r="U40" s="28">
        <v>1.4805E-3</v>
      </c>
      <c r="V40" s="28">
        <v>1.3481000000000001E-3</v>
      </c>
      <c r="W40" s="28">
        <v>1.4805E-3</v>
      </c>
      <c r="X40" s="28">
        <v>0</v>
      </c>
      <c r="Y40" s="28">
        <v>0</v>
      </c>
      <c r="Z40" s="29">
        <v>10.4</v>
      </c>
      <c r="AA40" s="29">
        <v>9.4700000000000006</v>
      </c>
      <c r="AB40" s="29">
        <v>10.4</v>
      </c>
      <c r="AC40" s="30">
        <v>0</v>
      </c>
    </row>
    <row r="41" spans="1:29" x14ac:dyDescent="0.3">
      <c r="A41" s="27">
        <f t="shared" si="4"/>
        <v>10082</v>
      </c>
      <c r="B41" s="27" t="str">
        <f t="shared" si="5"/>
        <v>Minidoka, City of</v>
      </c>
      <c r="C41" s="38">
        <f t="shared" si="6"/>
        <v>61.872</v>
      </c>
      <c r="D41" s="38">
        <f t="shared" si="8"/>
        <v>78.597000000000008</v>
      </c>
      <c r="E41" s="38">
        <f t="shared" si="8"/>
        <v>77.647000000000006</v>
      </c>
      <c r="F41" s="38">
        <f t="shared" si="8"/>
        <v>64.724000000000004</v>
      </c>
      <c r="G41" s="38">
        <f t="shared" si="8"/>
        <v>58.632999999999996</v>
      </c>
      <c r="H41" s="38">
        <f t="shared" si="8"/>
        <v>65.219000000000008</v>
      </c>
      <c r="I41" s="38">
        <f t="shared" si="8"/>
        <v>53.100999999999999</v>
      </c>
      <c r="J41" s="38">
        <f t="shared" si="8"/>
        <v>71.615000000000009</v>
      </c>
      <c r="K41" s="38">
        <f t="shared" si="8"/>
        <v>91.376000000000005</v>
      </c>
      <c r="L41" s="38">
        <f t="shared" si="8"/>
        <v>71.641000000000005</v>
      </c>
      <c r="M41" s="38">
        <f t="shared" si="8"/>
        <v>69.765000000000001</v>
      </c>
      <c r="N41" s="38">
        <f t="shared" si="8"/>
        <v>62.632999999999996</v>
      </c>
      <c r="O41" s="39">
        <f t="shared" si="7"/>
        <v>826.82299999999987</v>
      </c>
      <c r="R41" s="27">
        <v>10082</v>
      </c>
      <c r="S41" s="27" t="s">
        <v>30</v>
      </c>
      <c r="T41" s="28">
        <v>1.34E-5</v>
      </c>
      <c r="U41" s="28">
        <v>1.34E-5</v>
      </c>
      <c r="V41" s="28">
        <v>1.34E-5</v>
      </c>
      <c r="W41" s="28">
        <v>1.34E-5</v>
      </c>
      <c r="X41" s="28">
        <v>0</v>
      </c>
      <c r="Y41" s="28">
        <v>0</v>
      </c>
      <c r="Z41" s="29">
        <v>0.11799999999999999</v>
      </c>
      <c r="AA41" s="29">
        <v>9.4E-2</v>
      </c>
      <c r="AB41" s="29">
        <v>9.4E-2</v>
      </c>
      <c r="AC41" s="30">
        <v>0</v>
      </c>
    </row>
    <row r="42" spans="1:29" x14ac:dyDescent="0.3">
      <c r="A42" s="27">
        <f t="shared" si="4"/>
        <v>10083</v>
      </c>
      <c r="B42" s="27" t="str">
        <f t="shared" si="5"/>
        <v>Monmouth, City of</v>
      </c>
      <c r="C42" s="38">
        <f t="shared" si="6"/>
        <v>5468.2889999999998</v>
      </c>
      <c r="D42" s="38">
        <f t="shared" si="8"/>
        <v>6946.4319999999998</v>
      </c>
      <c r="E42" s="38">
        <f t="shared" si="8"/>
        <v>6862.5450000000001</v>
      </c>
      <c r="F42" s="38">
        <f t="shared" si="8"/>
        <v>5720.3490000000002</v>
      </c>
      <c r="G42" s="38">
        <f t="shared" si="8"/>
        <v>5182.0429999999997</v>
      </c>
      <c r="H42" s="38">
        <f t="shared" si="8"/>
        <v>5764.0779999999995</v>
      </c>
      <c r="I42" s="38">
        <f t="shared" si="8"/>
        <v>4693.1180000000004</v>
      </c>
      <c r="J42" s="38">
        <f t="shared" si="8"/>
        <v>6329.3710000000001</v>
      </c>
      <c r="K42" s="38">
        <f t="shared" si="8"/>
        <v>8075.8459999999995</v>
      </c>
      <c r="L42" s="38">
        <f t="shared" si="8"/>
        <v>6331.7190000000001</v>
      </c>
      <c r="M42" s="38">
        <f t="shared" si="8"/>
        <v>6165.8330000000005</v>
      </c>
      <c r="N42" s="38">
        <f t="shared" si="8"/>
        <v>5535.6080000000002</v>
      </c>
      <c r="O42" s="39">
        <f t="shared" si="7"/>
        <v>73075.231</v>
      </c>
      <c r="R42" s="27">
        <v>10083</v>
      </c>
      <c r="S42" s="27" t="s">
        <v>31</v>
      </c>
      <c r="T42" s="28">
        <v>1.1842999999999999E-3</v>
      </c>
      <c r="U42" s="28">
        <v>1.1842999999999999E-3</v>
      </c>
      <c r="V42" s="28">
        <v>1.1842999999999999E-3</v>
      </c>
      <c r="W42" s="28">
        <v>1.1842999999999999E-3</v>
      </c>
      <c r="X42" s="28">
        <v>0</v>
      </c>
      <c r="Y42" s="28">
        <v>0</v>
      </c>
      <c r="Z42" s="29">
        <v>8.3190000000000008</v>
      </c>
      <c r="AA42" s="29">
        <v>8.3190000000000008</v>
      </c>
      <c r="AB42" s="29">
        <v>8.3190000000000008</v>
      </c>
      <c r="AC42" s="30">
        <v>0</v>
      </c>
    </row>
    <row r="43" spans="1:29" x14ac:dyDescent="0.3">
      <c r="A43" s="27">
        <f t="shared" si="4"/>
        <v>10086</v>
      </c>
      <c r="B43" s="27" t="str">
        <f t="shared" si="5"/>
        <v>Plummer, City of</v>
      </c>
      <c r="C43" s="38">
        <f t="shared" si="6"/>
        <v>2545.989</v>
      </c>
      <c r="D43" s="38">
        <f t="shared" si="8"/>
        <v>3234.1990000000001</v>
      </c>
      <c r="E43" s="38">
        <f t="shared" si="8"/>
        <v>3195.143</v>
      </c>
      <c r="F43" s="38">
        <f t="shared" si="8"/>
        <v>2663.346</v>
      </c>
      <c r="G43" s="38">
        <f t="shared" si="8"/>
        <v>2412.7150000000001</v>
      </c>
      <c r="H43" s="38">
        <f t="shared" si="8"/>
        <v>2683.7060000000001</v>
      </c>
      <c r="I43" s="38">
        <f t="shared" si="8"/>
        <v>2185.076</v>
      </c>
      <c r="J43" s="38">
        <f t="shared" si="8"/>
        <v>2946.9009999999998</v>
      </c>
      <c r="K43" s="38">
        <f t="shared" si="8"/>
        <v>3760.0450000000001</v>
      </c>
      <c r="L43" s="38">
        <f t="shared" si="8"/>
        <v>2947.9949999999999</v>
      </c>
      <c r="M43" s="38">
        <f t="shared" si="8"/>
        <v>2870.759</v>
      </c>
      <c r="N43" s="38">
        <f t="shared" si="8"/>
        <v>2577.3320000000003</v>
      </c>
      <c r="O43" s="39">
        <f t="shared" si="7"/>
        <v>34023.205999999998</v>
      </c>
      <c r="R43" s="27">
        <v>10086</v>
      </c>
      <c r="S43" s="27" t="s">
        <v>32</v>
      </c>
      <c r="T43" s="28">
        <v>5.5139999999999996E-4</v>
      </c>
      <c r="U43" s="28">
        <v>5.5259999999999999E-4</v>
      </c>
      <c r="V43" s="28">
        <v>5.5139999999999996E-4</v>
      </c>
      <c r="W43" s="28">
        <v>5.5259999999999999E-4</v>
      </c>
      <c r="X43" s="28">
        <v>0</v>
      </c>
      <c r="Y43" s="28">
        <v>0</v>
      </c>
      <c r="Z43" s="29">
        <v>3.9239999999999999</v>
      </c>
      <c r="AA43" s="29">
        <v>3.8730000000000002</v>
      </c>
      <c r="AB43" s="29">
        <v>3.8820000000000001</v>
      </c>
      <c r="AC43" s="30">
        <v>0</v>
      </c>
    </row>
    <row r="44" spans="1:29" x14ac:dyDescent="0.3">
      <c r="A44" s="27">
        <f t="shared" si="4"/>
        <v>10087</v>
      </c>
      <c r="B44" s="27" t="str">
        <f t="shared" si="5"/>
        <v>Port Angeles, City of</v>
      </c>
      <c r="C44" s="38">
        <f t="shared" si="6"/>
        <v>20159.205999999998</v>
      </c>
      <c r="D44" s="38">
        <f t="shared" si="8"/>
        <v>25608.482</v>
      </c>
      <c r="E44" s="38">
        <f t="shared" si="8"/>
        <v>25299.224999999999</v>
      </c>
      <c r="F44" s="38">
        <f t="shared" si="8"/>
        <v>21088.444</v>
      </c>
      <c r="G44" s="38">
        <f t="shared" si="8"/>
        <v>19103.942999999999</v>
      </c>
      <c r="H44" s="38">
        <f t="shared" si="8"/>
        <v>21249.653999999999</v>
      </c>
      <c r="I44" s="38">
        <f t="shared" si="8"/>
        <v>17301.491000000002</v>
      </c>
      <c r="J44" s="38">
        <f t="shared" si="8"/>
        <v>23333.64</v>
      </c>
      <c r="K44" s="38">
        <f t="shared" si="8"/>
        <v>29772.138999999999</v>
      </c>
      <c r="L44" s="38">
        <f t="shared" si="8"/>
        <v>23342.300999999999</v>
      </c>
      <c r="M44" s="38">
        <f t="shared" si="8"/>
        <v>22730.752</v>
      </c>
      <c r="N44" s="38">
        <f t="shared" si="8"/>
        <v>20407.381000000001</v>
      </c>
      <c r="O44" s="39">
        <f t="shared" si="7"/>
        <v>269396.65800000005</v>
      </c>
      <c r="R44" s="27">
        <v>10087</v>
      </c>
      <c r="S44" s="27" t="s">
        <v>33</v>
      </c>
      <c r="T44" s="28">
        <v>4.3660000000000001E-3</v>
      </c>
      <c r="U44" s="28">
        <v>4.3676000000000001E-3</v>
      </c>
      <c r="V44" s="28">
        <v>4.3660000000000001E-3</v>
      </c>
      <c r="W44" s="28">
        <v>4.3676000000000001E-3</v>
      </c>
      <c r="X44" s="28">
        <v>0</v>
      </c>
      <c r="Y44" s="28">
        <v>0</v>
      </c>
      <c r="Z44" s="29">
        <v>85.027000000000001</v>
      </c>
      <c r="AA44" s="29">
        <v>30.669</v>
      </c>
      <c r="AB44" s="29">
        <v>30.68</v>
      </c>
      <c r="AC44" s="30">
        <v>0</v>
      </c>
    </row>
    <row r="45" spans="1:29" x14ac:dyDescent="0.3">
      <c r="A45" s="27">
        <f t="shared" si="4"/>
        <v>10089</v>
      </c>
      <c r="B45" s="27" t="str">
        <f t="shared" si="5"/>
        <v>Richland, City of</v>
      </c>
      <c r="C45" s="38">
        <f t="shared" si="6"/>
        <v>67905.036999999997</v>
      </c>
      <c r="D45" s="38">
        <f t="shared" si="8"/>
        <v>86260.58</v>
      </c>
      <c r="E45" s="38">
        <f t="shared" si="8"/>
        <v>85218.866999999998</v>
      </c>
      <c r="F45" s="38">
        <f t="shared" si="8"/>
        <v>71035.116999999998</v>
      </c>
      <c r="G45" s="38">
        <f t="shared" si="8"/>
        <v>64350.445999999996</v>
      </c>
      <c r="H45" s="38">
        <f t="shared" si="8"/>
        <v>71578.138999999996</v>
      </c>
      <c r="I45" s="38">
        <f t="shared" si="8"/>
        <v>58278.998</v>
      </c>
      <c r="J45" s="38">
        <f t="shared" si="8"/>
        <v>78597.918999999994</v>
      </c>
      <c r="K45" s="38">
        <f t="shared" si="8"/>
        <v>100285.599</v>
      </c>
      <c r="L45" s="38">
        <f t="shared" si="8"/>
        <v>78627.09</v>
      </c>
      <c r="M45" s="38">
        <f t="shared" si="8"/>
        <v>76567.129000000001</v>
      </c>
      <c r="N45" s="38">
        <f t="shared" si="8"/>
        <v>68740.994000000006</v>
      </c>
      <c r="O45" s="39">
        <f t="shared" si="7"/>
        <v>907445.91500000004</v>
      </c>
      <c r="R45" s="27">
        <v>10089</v>
      </c>
      <c r="S45" s="27" t="s">
        <v>34</v>
      </c>
      <c r="T45" s="28">
        <v>1.47066E-2</v>
      </c>
      <c r="U45" s="28">
        <v>1.47066E-2</v>
      </c>
      <c r="V45" s="28">
        <v>1.47066E-2</v>
      </c>
      <c r="W45" s="28">
        <v>1.47066E-2</v>
      </c>
      <c r="X45" s="28">
        <v>0</v>
      </c>
      <c r="Y45" s="28">
        <v>0</v>
      </c>
      <c r="Z45" s="29">
        <v>103.307</v>
      </c>
      <c r="AA45" s="29">
        <v>103.307</v>
      </c>
      <c r="AB45" s="29">
        <v>103.307</v>
      </c>
      <c r="AC45" s="30">
        <v>0</v>
      </c>
    </row>
    <row r="46" spans="1:29" x14ac:dyDescent="0.3">
      <c r="A46" s="27">
        <f t="shared" si="4"/>
        <v>10091</v>
      </c>
      <c r="B46" s="27" t="str">
        <f t="shared" si="5"/>
        <v>Rupert, City of</v>
      </c>
      <c r="C46" s="38">
        <f t="shared" si="6"/>
        <v>6160.8860000000004</v>
      </c>
      <c r="D46" s="38">
        <f t="shared" si="8"/>
        <v>7826.2470000000003</v>
      </c>
      <c r="E46" s="38">
        <f t="shared" si="8"/>
        <v>7731.7350000000006</v>
      </c>
      <c r="F46" s="38">
        <f t="shared" si="8"/>
        <v>6444.8719999999994</v>
      </c>
      <c r="G46" s="38">
        <f t="shared" si="8"/>
        <v>5838.3860000000004</v>
      </c>
      <c r="H46" s="38">
        <f t="shared" si="8"/>
        <v>6494.14</v>
      </c>
      <c r="I46" s="38">
        <f t="shared" si="8"/>
        <v>5287.5349999999999</v>
      </c>
      <c r="J46" s="38">
        <f t="shared" si="8"/>
        <v>7131.0300000000007</v>
      </c>
      <c r="K46" s="38">
        <f t="shared" si="8"/>
        <v>9098.7089999999989</v>
      </c>
      <c r="L46" s="38">
        <f t="shared" si="8"/>
        <v>7133.6759999999995</v>
      </c>
      <c r="M46" s="38">
        <f t="shared" si="8"/>
        <v>6946.7810000000009</v>
      </c>
      <c r="N46" s="38">
        <f t="shared" si="8"/>
        <v>6236.7309999999998</v>
      </c>
      <c r="O46" s="39">
        <f t="shared" si="7"/>
        <v>82330.728000000017</v>
      </c>
      <c r="R46" s="27">
        <v>10091</v>
      </c>
      <c r="S46" s="27" t="s">
        <v>35</v>
      </c>
      <c r="T46" s="28">
        <v>1.3343000000000001E-3</v>
      </c>
      <c r="U46" s="28">
        <v>1.3343000000000001E-3</v>
      </c>
      <c r="V46" s="28">
        <v>1.3343000000000001E-3</v>
      </c>
      <c r="W46" s="28">
        <v>1.3343000000000001E-3</v>
      </c>
      <c r="X46" s="28">
        <v>0</v>
      </c>
      <c r="Y46" s="28">
        <v>0</v>
      </c>
      <c r="Z46" s="29">
        <v>9.3729999999999993</v>
      </c>
      <c r="AA46" s="29">
        <v>9.3729999999999993</v>
      </c>
      <c r="AB46" s="29">
        <v>9.3729999999999993</v>
      </c>
      <c r="AC46" s="30">
        <v>0</v>
      </c>
    </row>
    <row r="47" spans="1:29" x14ac:dyDescent="0.3">
      <c r="A47" s="27">
        <f t="shared" si="4"/>
        <v>10094</v>
      </c>
      <c r="B47" s="27" t="str">
        <f t="shared" si="5"/>
        <v>Soda Springs, City of</v>
      </c>
      <c r="C47" s="38">
        <f t="shared" si="6"/>
        <v>1985.9079999999999</v>
      </c>
      <c r="D47" s="38">
        <f t="shared" ref="D47:N62" si="9">ROUND(D$3*$V47, 3)+ROUND(D$4*$V47,3)</f>
        <v>2522.723</v>
      </c>
      <c r="E47" s="38">
        <f t="shared" si="9"/>
        <v>2492.2570000000001</v>
      </c>
      <c r="F47" s="38">
        <f t="shared" si="9"/>
        <v>2077.4480000000003</v>
      </c>
      <c r="G47" s="38">
        <f t="shared" si="9"/>
        <v>1881.953</v>
      </c>
      <c r="H47" s="38">
        <f t="shared" si="9"/>
        <v>2093.33</v>
      </c>
      <c r="I47" s="38">
        <f t="shared" si="9"/>
        <v>1704.3910000000001</v>
      </c>
      <c r="J47" s="38">
        <f t="shared" si="9"/>
        <v>2298.625</v>
      </c>
      <c r="K47" s="38">
        <f t="shared" si="9"/>
        <v>2932.89</v>
      </c>
      <c r="L47" s="38">
        <f t="shared" si="9"/>
        <v>2299.4790000000003</v>
      </c>
      <c r="M47" s="38">
        <f t="shared" si="9"/>
        <v>2239.2339999999999</v>
      </c>
      <c r="N47" s="38">
        <f t="shared" si="9"/>
        <v>2010.3559999999998</v>
      </c>
      <c r="O47" s="39">
        <f t="shared" si="7"/>
        <v>26538.593999999997</v>
      </c>
      <c r="R47" s="27">
        <v>10094</v>
      </c>
      <c r="S47" s="27" t="s">
        <v>36</v>
      </c>
      <c r="T47" s="28">
        <v>4.3009999999999999E-4</v>
      </c>
      <c r="U47" s="28">
        <v>4.3009999999999999E-4</v>
      </c>
      <c r="V47" s="28">
        <v>4.3009999999999999E-4</v>
      </c>
      <c r="W47" s="28">
        <v>4.3009999999999999E-4</v>
      </c>
      <c r="X47" s="28">
        <v>0</v>
      </c>
      <c r="Y47" s="28">
        <v>0</v>
      </c>
      <c r="Z47" s="29">
        <v>3.0209999999999999</v>
      </c>
      <c r="AA47" s="29">
        <v>3.0209999999999999</v>
      </c>
      <c r="AB47" s="29">
        <v>3.0209999999999999</v>
      </c>
      <c r="AC47" s="30">
        <v>0</v>
      </c>
    </row>
    <row r="48" spans="1:29" x14ac:dyDescent="0.3">
      <c r="A48" s="27">
        <f t="shared" si="4"/>
        <v>10095</v>
      </c>
      <c r="B48" s="27" t="str">
        <f t="shared" si="5"/>
        <v>Sumas, Town of</v>
      </c>
      <c r="C48" s="38">
        <f t="shared" si="6"/>
        <v>2381.6120000000001</v>
      </c>
      <c r="D48" s="38">
        <f t="shared" si="9"/>
        <v>3025.3900000000003</v>
      </c>
      <c r="E48" s="38">
        <f t="shared" si="9"/>
        <v>2988.855</v>
      </c>
      <c r="F48" s="38">
        <f t="shared" si="9"/>
        <v>2491.393</v>
      </c>
      <c r="G48" s="38">
        <f t="shared" si="9"/>
        <v>2256.9430000000002</v>
      </c>
      <c r="H48" s="38">
        <f t="shared" si="9"/>
        <v>2510.4369999999999</v>
      </c>
      <c r="I48" s="38">
        <f t="shared" si="9"/>
        <v>2044.001</v>
      </c>
      <c r="J48" s="38">
        <f t="shared" si="9"/>
        <v>2756.64</v>
      </c>
      <c r="K48" s="38">
        <f t="shared" si="9"/>
        <v>3517.2860000000001</v>
      </c>
      <c r="L48" s="38">
        <f t="shared" si="9"/>
        <v>2757.6639999999998</v>
      </c>
      <c r="M48" s="38">
        <f t="shared" si="9"/>
        <v>2685.415</v>
      </c>
      <c r="N48" s="38">
        <f t="shared" si="9"/>
        <v>2410.931</v>
      </c>
      <c r="O48" s="39">
        <f t="shared" si="7"/>
        <v>31826.566999999999</v>
      </c>
      <c r="R48" s="27">
        <v>10095</v>
      </c>
      <c r="S48" s="27" t="s">
        <v>37</v>
      </c>
      <c r="T48" s="28">
        <v>5.1579999999999996E-4</v>
      </c>
      <c r="U48" s="28">
        <v>5.1579999999999996E-4</v>
      </c>
      <c r="V48" s="28">
        <v>5.1579999999999996E-4</v>
      </c>
      <c r="W48" s="28">
        <v>5.1579999999999996E-4</v>
      </c>
      <c r="X48" s="28">
        <v>0</v>
      </c>
      <c r="Y48" s="28">
        <v>0</v>
      </c>
      <c r="Z48" s="29">
        <v>3.6230000000000002</v>
      </c>
      <c r="AA48" s="29">
        <v>3.6230000000000002</v>
      </c>
      <c r="AB48" s="29">
        <v>3.6230000000000002</v>
      </c>
      <c r="AC48" s="30">
        <v>0</v>
      </c>
    </row>
    <row r="49" spans="1:29" x14ac:dyDescent="0.3">
      <c r="A49" s="27">
        <f t="shared" si="4"/>
        <v>10097</v>
      </c>
      <c r="B49" s="27" t="str">
        <f t="shared" si="5"/>
        <v>Troy, City of</v>
      </c>
      <c r="C49" s="38">
        <f t="shared" si="6"/>
        <v>1321.9369999999999</v>
      </c>
      <c r="D49" s="38">
        <f t="shared" si="9"/>
        <v>1679.2729999999999</v>
      </c>
      <c r="E49" s="38">
        <f t="shared" si="9"/>
        <v>1658.9940000000001</v>
      </c>
      <c r="F49" s="38">
        <f t="shared" si="9"/>
        <v>1382.873</v>
      </c>
      <c r="G49" s="38">
        <f t="shared" si="9"/>
        <v>1252.739</v>
      </c>
      <c r="H49" s="38">
        <f t="shared" si="9"/>
        <v>1393.444</v>
      </c>
      <c r="I49" s="38">
        <f t="shared" si="9"/>
        <v>1134.5430000000001</v>
      </c>
      <c r="J49" s="38">
        <f t="shared" si="9"/>
        <v>1530.1010000000001</v>
      </c>
      <c r="K49" s="38">
        <f t="shared" si="9"/>
        <v>1952.3049999999998</v>
      </c>
      <c r="L49" s="38">
        <f t="shared" si="9"/>
        <v>1530.6689999999999</v>
      </c>
      <c r="M49" s="38">
        <f t="shared" si="9"/>
        <v>1490.566</v>
      </c>
      <c r="N49" s="38">
        <f t="shared" si="9"/>
        <v>1338.212</v>
      </c>
      <c r="O49" s="39">
        <f t="shared" si="7"/>
        <v>17665.655999999999</v>
      </c>
      <c r="R49" s="27">
        <v>10097</v>
      </c>
      <c r="S49" s="27" t="s">
        <v>38</v>
      </c>
      <c r="T49" s="28">
        <v>2.8630000000000002E-4</v>
      </c>
      <c r="U49" s="28">
        <v>2.877E-4</v>
      </c>
      <c r="V49" s="28">
        <v>2.8630000000000002E-4</v>
      </c>
      <c r="W49" s="28">
        <v>2.877E-4</v>
      </c>
      <c r="X49" s="28">
        <v>0</v>
      </c>
      <c r="Y49" s="28">
        <v>0</v>
      </c>
      <c r="Z49" s="29">
        <v>2.0270000000000001</v>
      </c>
      <c r="AA49" s="29">
        <v>2.0110000000000001</v>
      </c>
      <c r="AB49" s="29">
        <v>2.0209999999999999</v>
      </c>
      <c r="AC49" s="30">
        <v>0</v>
      </c>
    </row>
    <row r="50" spans="1:29" x14ac:dyDescent="0.3">
      <c r="A50" s="27">
        <f t="shared" si="4"/>
        <v>10101</v>
      </c>
      <c r="B50" s="27" t="str">
        <f t="shared" si="5"/>
        <v>Clallam County PUD #1</v>
      </c>
      <c r="C50" s="38">
        <f t="shared" si="6"/>
        <v>49709.574999999997</v>
      </c>
      <c r="D50" s="38">
        <f t="shared" si="9"/>
        <v>63146.668000000005</v>
      </c>
      <c r="E50" s="38">
        <f t="shared" si="9"/>
        <v>62384.087</v>
      </c>
      <c r="F50" s="38">
        <f t="shared" si="9"/>
        <v>52000.936000000002</v>
      </c>
      <c r="G50" s="38">
        <f t="shared" si="9"/>
        <v>47107.452999999994</v>
      </c>
      <c r="H50" s="38">
        <f t="shared" si="9"/>
        <v>52398.453000000009</v>
      </c>
      <c r="I50" s="38">
        <f t="shared" si="9"/>
        <v>42662.877</v>
      </c>
      <c r="J50" s="38">
        <f t="shared" si="9"/>
        <v>57537.250999999997</v>
      </c>
      <c r="K50" s="38">
        <f t="shared" si="9"/>
        <v>73413.619000000006</v>
      </c>
      <c r="L50" s="38">
        <f t="shared" si="9"/>
        <v>57558.604999999996</v>
      </c>
      <c r="M50" s="38">
        <f t="shared" si="9"/>
        <v>56050.62</v>
      </c>
      <c r="N50" s="38">
        <f t="shared" si="9"/>
        <v>50321.534</v>
      </c>
      <c r="O50" s="39">
        <f t="shared" si="7"/>
        <v>664291.67799999996</v>
      </c>
      <c r="R50" s="27">
        <v>10101</v>
      </c>
      <c r="S50" s="27" t="s">
        <v>39</v>
      </c>
      <c r="T50" s="28">
        <v>1.07659E-2</v>
      </c>
      <c r="U50" s="28">
        <v>1.07659E-2</v>
      </c>
      <c r="V50" s="28">
        <v>1.07659E-2</v>
      </c>
      <c r="W50" s="28">
        <v>1.07659E-2</v>
      </c>
      <c r="X50" s="28">
        <v>0</v>
      </c>
      <c r="Y50" s="28">
        <v>0</v>
      </c>
      <c r="Z50" s="29">
        <v>75.625</v>
      </c>
      <c r="AA50" s="29">
        <v>75.625</v>
      </c>
      <c r="AB50" s="29">
        <v>75.625</v>
      </c>
      <c r="AC50" s="30">
        <v>5.1150000000000001E-2</v>
      </c>
    </row>
    <row r="51" spans="1:29" x14ac:dyDescent="0.3">
      <c r="A51" s="27">
        <f t="shared" si="4"/>
        <v>10103</v>
      </c>
      <c r="B51" s="27" t="str">
        <f t="shared" si="5"/>
        <v>Clark County PUD #1</v>
      </c>
      <c r="C51" s="38">
        <f t="shared" si="6"/>
        <v>100308.446</v>
      </c>
      <c r="D51" s="38">
        <f t="shared" si="9"/>
        <v>127423.01800000001</v>
      </c>
      <c r="E51" s="38">
        <f t="shared" si="9"/>
        <v>125884.212</v>
      </c>
      <c r="F51" s="38">
        <f t="shared" si="9"/>
        <v>104932.15899999999</v>
      </c>
      <c r="G51" s="38">
        <f t="shared" si="9"/>
        <v>95057.649000000005</v>
      </c>
      <c r="H51" s="38">
        <f t="shared" si="9"/>
        <v>105734.30499999999</v>
      </c>
      <c r="I51" s="38">
        <f t="shared" si="9"/>
        <v>86088.983999999997</v>
      </c>
      <c r="J51" s="38">
        <f t="shared" si="9"/>
        <v>116103.83300000001</v>
      </c>
      <c r="K51" s="38">
        <f t="shared" si="9"/>
        <v>148140.595</v>
      </c>
      <c r="L51" s="38">
        <f t="shared" si="9"/>
        <v>116146.924</v>
      </c>
      <c r="M51" s="38">
        <f t="shared" si="9"/>
        <v>113103.976</v>
      </c>
      <c r="N51" s="38">
        <f t="shared" si="9"/>
        <v>101543.31</v>
      </c>
      <c r="O51" s="39">
        <f t="shared" si="7"/>
        <v>1340467.4109999998</v>
      </c>
      <c r="R51" s="27">
        <v>10103</v>
      </c>
      <c r="S51" s="27" t="s">
        <v>40</v>
      </c>
      <c r="T51" s="28">
        <v>4.3545899999999998E-2</v>
      </c>
      <c r="U51" s="28">
        <v>4.3659499999999997E-2</v>
      </c>
      <c r="V51" s="28">
        <v>2.1724399999999998E-2</v>
      </c>
      <c r="W51" s="28">
        <v>2.1837999999999996E-2</v>
      </c>
      <c r="X51" s="28">
        <v>2.1821500000000001E-2</v>
      </c>
      <c r="Y51" s="28">
        <v>2.1821500000000001E-2</v>
      </c>
      <c r="Z51" s="29">
        <v>316.80799999999999</v>
      </c>
      <c r="AA51" s="29">
        <v>305.88900000000001</v>
      </c>
      <c r="AB51" s="29">
        <v>306.68700000000001</v>
      </c>
      <c r="AC51" s="30">
        <v>0</v>
      </c>
    </row>
    <row r="52" spans="1:29" x14ac:dyDescent="0.3">
      <c r="A52" s="27">
        <f t="shared" si="4"/>
        <v>10105</v>
      </c>
      <c r="B52" s="27" t="str">
        <f t="shared" si="5"/>
        <v>Clatskanie PUD</v>
      </c>
      <c r="C52" s="38">
        <f t="shared" si="6"/>
        <v>22247.62</v>
      </c>
      <c r="D52" s="38">
        <f t="shared" si="9"/>
        <v>28261.417000000001</v>
      </c>
      <c r="E52" s="38">
        <f t="shared" si="9"/>
        <v>27920.121999999999</v>
      </c>
      <c r="F52" s="38">
        <f t="shared" si="9"/>
        <v>23273.121999999999</v>
      </c>
      <c r="G52" s="38">
        <f t="shared" si="9"/>
        <v>21083.034</v>
      </c>
      <c r="H52" s="38">
        <f t="shared" si="9"/>
        <v>23451.031999999999</v>
      </c>
      <c r="I52" s="38">
        <f t="shared" si="9"/>
        <v>19093.855</v>
      </c>
      <c r="J52" s="38">
        <f t="shared" si="9"/>
        <v>25750.911</v>
      </c>
      <c r="K52" s="38">
        <f t="shared" si="9"/>
        <v>32856.411</v>
      </c>
      <c r="L52" s="38">
        <f t="shared" si="9"/>
        <v>25760.468000000001</v>
      </c>
      <c r="M52" s="38">
        <f t="shared" si="9"/>
        <v>25085.566999999999</v>
      </c>
      <c r="N52" s="38">
        <f t="shared" si="9"/>
        <v>22521.503000000001</v>
      </c>
      <c r="O52" s="39">
        <f t="shared" si="7"/>
        <v>297305.06200000003</v>
      </c>
      <c r="R52" s="27">
        <v>10105</v>
      </c>
      <c r="S52" s="27" t="s">
        <v>41</v>
      </c>
      <c r="T52" s="28">
        <v>1.2071699999999999E-2</v>
      </c>
      <c r="U52" s="28">
        <v>1.3146400000000001E-2</v>
      </c>
      <c r="V52" s="28">
        <v>4.8182999999999993E-3</v>
      </c>
      <c r="W52" s="28">
        <v>5.8930000000000007E-3</v>
      </c>
      <c r="X52" s="28">
        <v>7.2534000000000001E-3</v>
      </c>
      <c r="Y52" s="28">
        <v>7.2534000000000001E-3</v>
      </c>
      <c r="Z52" s="29">
        <v>92.346999999999994</v>
      </c>
      <c r="AA52" s="29">
        <v>84.798000000000002</v>
      </c>
      <c r="AB52" s="29">
        <v>92.346999999999994</v>
      </c>
      <c r="AC52" s="30">
        <v>0</v>
      </c>
    </row>
    <row r="53" spans="1:29" x14ac:dyDescent="0.3">
      <c r="A53" s="27">
        <f t="shared" si="4"/>
        <v>10106</v>
      </c>
      <c r="B53" s="27" t="str">
        <f t="shared" si="5"/>
        <v>Clearwater Power</v>
      </c>
      <c r="C53" s="38">
        <f t="shared" si="6"/>
        <v>15565.438000000002</v>
      </c>
      <c r="D53" s="38">
        <f t="shared" si="9"/>
        <v>19772.962</v>
      </c>
      <c r="E53" s="38">
        <f t="shared" si="9"/>
        <v>19534.175999999999</v>
      </c>
      <c r="F53" s="38">
        <f t="shared" si="9"/>
        <v>16282.925999999999</v>
      </c>
      <c r="G53" s="38">
        <f t="shared" si="9"/>
        <v>14750.642</v>
      </c>
      <c r="H53" s="38">
        <f t="shared" si="9"/>
        <v>16407.398999999998</v>
      </c>
      <c r="I53" s="38">
        <f t="shared" si="9"/>
        <v>13358.922999999999</v>
      </c>
      <c r="J53" s="38">
        <f t="shared" si="9"/>
        <v>18016.499</v>
      </c>
      <c r="K53" s="38">
        <f t="shared" si="9"/>
        <v>22987.828000000001</v>
      </c>
      <c r="L53" s="38">
        <f t="shared" si="9"/>
        <v>18023.186000000002</v>
      </c>
      <c r="M53" s="38">
        <f t="shared" si="9"/>
        <v>17550.993999999999</v>
      </c>
      <c r="N53" s="38">
        <f t="shared" si="9"/>
        <v>15757.059000000001</v>
      </c>
      <c r="O53" s="39">
        <f t="shared" si="7"/>
        <v>208008.03200000001</v>
      </c>
      <c r="R53" s="27">
        <v>10106</v>
      </c>
      <c r="S53" s="27" t="s">
        <v>42</v>
      </c>
      <c r="T53" s="28">
        <v>3.3711000000000001E-3</v>
      </c>
      <c r="U53" s="28">
        <v>3.3812999999999998E-3</v>
      </c>
      <c r="V53" s="28">
        <v>3.3711000000000001E-3</v>
      </c>
      <c r="W53" s="28">
        <v>3.3812999999999998E-3</v>
      </c>
      <c r="X53" s="28">
        <v>0</v>
      </c>
      <c r="Y53" s="28">
        <v>0</v>
      </c>
      <c r="Z53" s="29">
        <v>23.751999999999999</v>
      </c>
      <c r="AA53" s="29">
        <v>23.68</v>
      </c>
      <c r="AB53" s="29">
        <v>23.751999999999999</v>
      </c>
      <c r="AC53" s="30">
        <v>7.0000000000000007E-2</v>
      </c>
    </row>
    <row r="54" spans="1:29" x14ac:dyDescent="0.3">
      <c r="A54" s="27">
        <f t="shared" si="4"/>
        <v>10109</v>
      </c>
      <c r="B54" s="27" t="str">
        <f t="shared" si="5"/>
        <v>Columbia Basin Elec Coop</v>
      </c>
      <c r="C54" s="38">
        <f t="shared" si="6"/>
        <v>7923.3159999999998</v>
      </c>
      <c r="D54" s="38">
        <f t="shared" si="9"/>
        <v>10065.084000000001</v>
      </c>
      <c r="E54" s="38">
        <f t="shared" si="9"/>
        <v>9943.5339999999997</v>
      </c>
      <c r="F54" s="38">
        <f t="shared" si="9"/>
        <v>8288.5409999999993</v>
      </c>
      <c r="G54" s="38">
        <f t="shared" si="9"/>
        <v>7508.5590000000002</v>
      </c>
      <c r="H54" s="38">
        <f t="shared" si="9"/>
        <v>8351.902</v>
      </c>
      <c r="I54" s="38">
        <f t="shared" si="9"/>
        <v>6800.1270000000004</v>
      </c>
      <c r="J54" s="38">
        <f t="shared" si="9"/>
        <v>9170.9860000000008</v>
      </c>
      <c r="K54" s="38">
        <f t="shared" si="9"/>
        <v>11701.555</v>
      </c>
      <c r="L54" s="38">
        <f t="shared" si="9"/>
        <v>9174.3909999999996</v>
      </c>
      <c r="M54" s="38">
        <f t="shared" si="9"/>
        <v>8934.0290000000005</v>
      </c>
      <c r="N54" s="38">
        <f t="shared" si="9"/>
        <v>8020.8580000000002</v>
      </c>
      <c r="O54" s="39">
        <f t="shared" si="7"/>
        <v>105882.88199999998</v>
      </c>
      <c r="R54" s="27">
        <v>10109</v>
      </c>
      <c r="S54" s="27" t="s">
        <v>43</v>
      </c>
      <c r="T54" s="28">
        <v>1.7160000000000001E-3</v>
      </c>
      <c r="U54" s="28">
        <v>1.7160000000000001E-3</v>
      </c>
      <c r="V54" s="28">
        <v>1.7160000000000001E-3</v>
      </c>
      <c r="W54" s="28">
        <v>1.7160000000000001E-3</v>
      </c>
      <c r="X54" s="28">
        <v>0</v>
      </c>
      <c r="Y54" s="28">
        <v>0</v>
      </c>
      <c r="Z54" s="29">
        <v>12.054</v>
      </c>
      <c r="AA54" s="29">
        <v>12.054</v>
      </c>
      <c r="AB54" s="29">
        <v>12.054</v>
      </c>
      <c r="AC54" s="30">
        <v>7.9259999999999997E-2</v>
      </c>
    </row>
    <row r="55" spans="1:29" x14ac:dyDescent="0.3">
      <c r="A55" s="27">
        <f t="shared" si="4"/>
        <v>10111</v>
      </c>
      <c r="B55" s="27" t="str">
        <f t="shared" si="5"/>
        <v>Columbia Power Coop</v>
      </c>
      <c r="C55" s="38">
        <f t="shared" si="6"/>
        <v>2002.069</v>
      </c>
      <c r="D55" s="38">
        <f t="shared" si="9"/>
        <v>2543.252</v>
      </c>
      <c r="E55" s="38">
        <f t="shared" si="9"/>
        <v>2512.5389999999998</v>
      </c>
      <c r="F55" s="38">
        <f t="shared" si="9"/>
        <v>2094.3540000000003</v>
      </c>
      <c r="G55" s="38">
        <f t="shared" si="9"/>
        <v>1897.268</v>
      </c>
      <c r="H55" s="38">
        <f t="shared" si="9"/>
        <v>2110.364</v>
      </c>
      <c r="I55" s="38">
        <f t="shared" si="9"/>
        <v>1718.2600000000002</v>
      </c>
      <c r="J55" s="38">
        <f t="shared" si="9"/>
        <v>2317.3310000000001</v>
      </c>
      <c r="K55" s="38">
        <f t="shared" si="9"/>
        <v>2956.7570000000001</v>
      </c>
      <c r="L55" s="38">
        <f t="shared" si="9"/>
        <v>2318.1910000000003</v>
      </c>
      <c r="M55" s="38">
        <f t="shared" si="9"/>
        <v>2257.4560000000001</v>
      </c>
      <c r="N55" s="38">
        <f t="shared" si="9"/>
        <v>2026.7159999999999</v>
      </c>
      <c r="O55" s="39">
        <f t="shared" si="7"/>
        <v>26754.557000000001</v>
      </c>
      <c r="R55" s="27">
        <v>10111</v>
      </c>
      <c r="S55" s="27" t="s">
        <v>44</v>
      </c>
      <c r="T55" s="28">
        <v>4.3360000000000002E-4</v>
      </c>
      <c r="U55" s="28">
        <v>4.3429999999999999E-4</v>
      </c>
      <c r="V55" s="28">
        <v>4.3360000000000002E-4</v>
      </c>
      <c r="W55" s="28">
        <v>4.3429999999999999E-4</v>
      </c>
      <c r="X55" s="28">
        <v>0</v>
      </c>
      <c r="Y55" s="28">
        <v>0</v>
      </c>
      <c r="Z55" s="29">
        <v>3.218</v>
      </c>
      <c r="AA55" s="29">
        <v>3.0459999999999998</v>
      </c>
      <c r="AB55" s="29">
        <v>3.0510000000000002</v>
      </c>
      <c r="AC55" s="30">
        <v>7.0000000000000007E-2</v>
      </c>
    </row>
    <row r="56" spans="1:29" x14ac:dyDescent="0.3">
      <c r="A56" s="27">
        <f t="shared" si="4"/>
        <v>10112</v>
      </c>
      <c r="B56" s="27" t="str">
        <f t="shared" si="5"/>
        <v>Columbia River PUD</v>
      </c>
      <c r="C56" s="38">
        <f t="shared" si="6"/>
        <v>35810.065999999999</v>
      </c>
      <c r="D56" s="38">
        <f t="shared" si="9"/>
        <v>45489.953999999998</v>
      </c>
      <c r="E56" s="38">
        <f t="shared" si="9"/>
        <v>44940.601999999999</v>
      </c>
      <c r="F56" s="38">
        <f t="shared" si="9"/>
        <v>37460.728000000003</v>
      </c>
      <c r="G56" s="38">
        <f t="shared" si="9"/>
        <v>33935.534</v>
      </c>
      <c r="H56" s="38">
        <f t="shared" si="9"/>
        <v>37747.093999999997</v>
      </c>
      <c r="I56" s="38">
        <f t="shared" si="9"/>
        <v>30733.724999999999</v>
      </c>
      <c r="J56" s="38">
        <f t="shared" si="9"/>
        <v>41449.01</v>
      </c>
      <c r="K56" s="38">
        <f t="shared" si="9"/>
        <v>52886.118000000002</v>
      </c>
      <c r="L56" s="38">
        <f t="shared" si="9"/>
        <v>41464.394</v>
      </c>
      <c r="M56" s="38">
        <f t="shared" si="9"/>
        <v>40378.063000000002</v>
      </c>
      <c r="N56" s="38">
        <f t="shared" si="9"/>
        <v>36250.911</v>
      </c>
      <c r="O56" s="39">
        <f t="shared" si="7"/>
        <v>478546.19900000002</v>
      </c>
      <c r="R56" s="27">
        <v>10112</v>
      </c>
      <c r="S56" s="27" t="s">
        <v>45</v>
      </c>
      <c r="T56" s="28">
        <v>7.7555999999999996E-3</v>
      </c>
      <c r="U56" s="28">
        <v>7.7665E-3</v>
      </c>
      <c r="V56" s="28">
        <v>7.7555999999999996E-3</v>
      </c>
      <c r="W56" s="28">
        <v>7.7665E-3</v>
      </c>
      <c r="X56" s="28">
        <v>0</v>
      </c>
      <c r="Y56" s="28">
        <v>0</v>
      </c>
      <c r="Z56" s="29">
        <v>57.942</v>
      </c>
      <c r="AA56" s="29">
        <v>54.478999999999999</v>
      </c>
      <c r="AB56" s="29">
        <v>54.555999999999997</v>
      </c>
      <c r="AC56" s="30">
        <v>0</v>
      </c>
    </row>
    <row r="57" spans="1:29" x14ac:dyDescent="0.3">
      <c r="A57" s="27">
        <f t="shared" si="4"/>
        <v>10113</v>
      </c>
      <c r="B57" s="27" t="str">
        <f t="shared" si="5"/>
        <v>Columbia REA</v>
      </c>
      <c r="C57" s="38">
        <f t="shared" si="6"/>
        <v>24644.931</v>
      </c>
      <c r="D57" s="38">
        <f t="shared" si="9"/>
        <v>31306.75</v>
      </c>
      <c r="E57" s="38">
        <f t="shared" si="9"/>
        <v>30928.678</v>
      </c>
      <c r="F57" s="38">
        <f t="shared" si="9"/>
        <v>25780.938000000002</v>
      </c>
      <c r="G57" s="38">
        <f t="shared" si="9"/>
        <v>23354.855</v>
      </c>
      <c r="H57" s="38">
        <f t="shared" si="9"/>
        <v>25978.017</v>
      </c>
      <c r="I57" s="38">
        <f t="shared" si="9"/>
        <v>21151.330999999998</v>
      </c>
      <c r="J57" s="38">
        <f t="shared" si="9"/>
        <v>28525.723000000002</v>
      </c>
      <c r="K57" s="38">
        <f t="shared" si="9"/>
        <v>36396.881999999998</v>
      </c>
      <c r="L57" s="38">
        <f t="shared" si="9"/>
        <v>28536.309999999998</v>
      </c>
      <c r="M57" s="38">
        <f t="shared" si="9"/>
        <v>27788.684000000001</v>
      </c>
      <c r="N57" s="38">
        <f t="shared" si="9"/>
        <v>24948.326999999997</v>
      </c>
      <c r="O57" s="39">
        <f t="shared" si="7"/>
        <v>329341.42599999998</v>
      </c>
      <c r="R57" s="27">
        <v>10113</v>
      </c>
      <c r="S57" s="27" t="s">
        <v>46</v>
      </c>
      <c r="T57" s="28">
        <v>5.3375000000000002E-3</v>
      </c>
      <c r="U57" s="28">
        <v>5.3375000000000002E-3</v>
      </c>
      <c r="V57" s="28">
        <v>5.3375000000000002E-3</v>
      </c>
      <c r="W57" s="28">
        <v>5.3375000000000002E-3</v>
      </c>
      <c r="X57" s="28">
        <v>0</v>
      </c>
      <c r="Y57" s="28">
        <v>0</v>
      </c>
      <c r="Z57" s="29">
        <v>37.493000000000002</v>
      </c>
      <c r="AA57" s="29">
        <v>37.493000000000002</v>
      </c>
      <c r="AB57" s="29">
        <v>37.493000000000002</v>
      </c>
      <c r="AC57" s="30">
        <v>8.1710000000000005E-2</v>
      </c>
    </row>
    <row r="58" spans="1:29" x14ac:dyDescent="0.3">
      <c r="A58" s="27">
        <f t="shared" si="4"/>
        <v>10116</v>
      </c>
      <c r="B58" s="27" t="str">
        <f t="shared" si="5"/>
        <v>Consolidated Irrigation District #19</v>
      </c>
      <c r="C58" s="38">
        <f t="shared" si="6"/>
        <v>148.678</v>
      </c>
      <c r="D58" s="38">
        <f t="shared" si="9"/>
        <v>188.86700000000002</v>
      </c>
      <c r="E58" s="38">
        <f t="shared" si="9"/>
        <v>186.58600000000001</v>
      </c>
      <c r="F58" s="38">
        <f t="shared" si="9"/>
        <v>155.53100000000001</v>
      </c>
      <c r="G58" s="38">
        <f t="shared" si="9"/>
        <v>140.89500000000001</v>
      </c>
      <c r="H58" s="38">
        <f t="shared" si="9"/>
        <v>156.72</v>
      </c>
      <c r="I58" s="38">
        <f t="shared" si="9"/>
        <v>127.601</v>
      </c>
      <c r="J58" s="38">
        <f t="shared" si="9"/>
        <v>172.089</v>
      </c>
      <c r="K58" s="38">
        <f t="shared" si="9"/>
        <v>219.57499999999999</v>
      </c>
      <c r="L58" s="38">
        <f t="shared" si="9"/>
        <v>172.15299999999999</v>
      </c>
      <c r="M58" s="38">
        <f t="shared" si="9"/>
        <v>167.643</v>
      </c>
      <c r="N58" s="38">
        <f t="shared" si="9"/>
        <v>150.50800000000001</v>
      </c>
      <c r="O58" s="39">
        <f t="shared" si="7"/>
        <v>1986.8460000000002</v>
      </c>
      <c r="R58" s="27">
        <v>10116</v>
      </c>
      <c r="S58" s="27" t="s">
        <v>47</v>
      </c>
      <c r="T58" s="28">
        <v>3.2199999999999997E-5</v>
      </c>
      <c r="U58" s="28">
        <v>3.2199999999999997E-5</v>
      </c>
      <c r="V58" s="28">
        <v>3.2199999999999997E-5</v>
      </c>
      <c r="W58" s="28">
        <v>3.2199999999999997E-5</v>
      </c>
      <c r="X58" s="28">
        <v>0</v>
      </c>
      <c r="Y58" s="28">
        <v>0</v>
      </c>
      <c r="Z58" s="29">
        <v>0.22600000000000001</v>
      </c>
      <c r="AA58" s="29">
        <v>0.22600000000000001</v>
      </c>
      <c r="AB58" s="29">
        <v>0.22600000000000001</v>
      </c>
      <c r="AC58" s="30">
        <v>0</v>
      </c>
    </row>
    <row r="59" spans="1:29" x14ac:dyDescent="0.3">
      <c r="A59" s="27">
        <f t="shared" si="4"/>
        <v>10118</v>
      </c>
      <c r="B59" s="27" t="str">
        <f t="shared" si="5"/>
        <v>Consumers Power</v>
      </c>
      <c r="C59" s="38">
        <f t="shared" si="6"/>
        <v>29862.959999999999</v>
      </c>
      <c r="D59" s="38">
        <f t="shared" si="9"/>
        <v>37935.275999999998</v>
      </c>
      <c r="E59" s="38">
        <f t="shared" si="9"/>
        <v>37477.156000000003</v>
      </c>
      <c r="F59" s="38">
        <f t="shared" si="9"/>
        <v>31239.492999999999</v>
      </c>
      <c r="G59" s="38">
        <f t="shared" si="9"/>
        <v>28299.738999999998</v>
      </c>
      <c r="H59" s="38">
        <f t="shared" si="9"/>
        <v>31478.300000000003</v>
      </c>
      <c r="I59" s="38">
        <f t="shared" si="9"/>
        <v>25629.665999999997</v>
      </c>
      <c r="J59" s="38">
        <f t="shared" si="9"/>
        <v>34565.425999999999</v>
      </c>
      <c r="K59" s="38">
        <f t="shared" si="9"/>
        <v>44103.133999999998</v>
      </c>
      <c r="L59" s="38">
        <f t="shared" si="9"/>
        <v>34578.255000000005</v>
      </c>
      <c r="M59" s="38">
        <f t="shared" si="9"/>
        <v>33672.334999999999</v>
      </c>
      <c r="N59" s="38">
        <f t="shared" si="9"/>
        <v>30230.594000000001</v>
      </c>
      <c r="O59" s="39">
        <f t="shared" si="7"/>
        <v>399072.33400000003</v>
      </c>
      <c r="R59" s="27">
        <v>10118</v>
      </c>
      <c r="S59" s="27" t="s">
        <v>48</v>
      </c>
      <c r="T59" s="28">
        <v>6.4676000000000004E-3</v>
      </c>
      <c r="U59" s="28">
        <v>6.4676000000000004E-3</v>
      </c>
      <c r="V59" s="28">
        <v>6.4676000000000004E-3</v>
      </c>
      <c r="W59" s="28">
        <v>6.4676000000000004E-3</v>
      </c>
      <c r="X59" s="28">
        <v>0</v>
      </c>
      <c r="Y59" s="28">
        <v>0</v>
      </c>
      <c r="Z59" s="29">
        <v>45.432000000000002</v>
      </c>
      <c r="AA59" s="29">
        <v>45.432000000000002</v>
      </c>
      <c r="AB59" s="29">
        <v>45.432000000000002</v>
      </c>
      <c r="AC59" s="30">
        <v>6.7250000000000004E-2</v>
      </c>
    </row>
    <row r="60" spans="1:29" x14ac:dyDescent="0.3">
      <c r="A60" s="27">
        <f t="shared" si="4"/>
        <v>10121</v>
      </c>
      <c r="B60" s="27" t="str">
        <f t="shared" si="5"/>
        <v>Coos Curry Elec Coop</v>
      </c>
      <c r="C60" s="38">
        <f t="shared" si="6"/>
        <v>25586.863000000001</v>
      </c>
      <c r="D60" s="38">
        <f t="shared" si="9"/>
        <v>32503.298000000003</v>
      </c>
      <c r="E60" s="38">
        <f t="shared" si="9"/>
        <v>32110.777000000002</v>
      </c>
      <c r="F60" s="38">
        <f t="shared" si="9"/>
        <v>26766.288</v>
      </c>
      <c r="G60" s="38">
        <f t="shared" si="9"/>
        <v>24247.481</v>
      </c>
      <c r="H60" s="38">
        <f t="shared" si="9"/>
        <v>26970.901999999998</v>
      </c>
      <c r="I60" s="38">
        <f t="shared" si="9"/>
        <v>21959.737000000001</v>
      </c>
      <c r="J60" s="38">
        <f t="shared" si="9"/>
        <v>29615.98</v>
      </c>
      <c r="K60" s="38">
        <f t="shared" si="9"/>
        <v>37787.976000000002</v>
      </c>
      <c r="L60" s="38">
        <f t="shared" si="9"/>
        <v>29626.971999999998</v>
      </c>
      <c r="M60" s="38">
        <f t="shared" si="9"/>
        <v>28850.770000000004</v>
      </c>
      <c r="N60" s="38">
        <f t="shared" si="9"/>
        <v>25901.853999999999</v>
      </c>
      <c r="O60" s="39">
        <f t="shared" si="7"/>
        <v>341928.89799999999</v>
      </c>
      <c r="R60" s="27">
        <v>10121</v>
      </c>
      <c r="S60" s="27" t="s">
        <v>49</v>
      </c>
      <c r="T60" s="28">
        <v>5.5415000000000004E-3</v>
      </c>
      <c r="U60" s="28">
        <v>5.5389000000000002E-3</v>
      </c>
      <c r="V60" s="28">
        <v>5.5415000000000004E-3</v>
      </c>
      <c r="W60" s="28">
        <v>5.5389000000000002E-3</v>
      </c>
      <c r="X60" s="28">
        <v>0</v>
      </c>
      <c r="Y60" s="28">
        <v>0</v>
      </c>
      <c r="Z60" s="29">
        <v>40.658999999999999</v>
      </c>
      <c r="AA60" s="29">
        <v>38.926000000000002</v>
      </c>
      <c r="AB60" s="29">
        <v>38.908000000000001</v>
      </c>
      <c r="AC60" s="30">
        <v>0.06</v>
      </c>
    </row>
    <row r="61" spans="1:29" x14ac:dyDescent="0.3">
      <c r="A61" s="27">
        <f t="shared" si="4"/>
        <v>10123</v>
      </c>
      <c r="B61" s="27" t="str">
        <f t="shared" si="5"/>
        <v>Cowlitz County PUD #1</v>
      </c>
      <c r="C61" s="38">
        <f t="shared" si="6"/>
        <v>128033.12700000001</v>
      </c>
      <c r="D61" s="38">
        <f t="shared" si="9"/>
        <v>162642.011</v>
      </c>
      <c r="E61" s="38">
        <f t="shared" si="9"/>
        <v>160677.889</v>
      </c>
      <c r="F61" s="38">
        <f t="shared" si="9"/>
        <v>133934.807</v>
      </c>
      <c r="G61" s="38">
        <f t="shared" si="9"/>
        <v>121331.041</v>
      </c>
      <c r="H61" s="38">
        <f t="shared" si="9"/>
        <v>134958.66099999999</v>
      </c>
      <c r="I61" s="38">
        <f t="shared" si="9"/>
        <v>109883.48799999998</v>
      </c>
      <c r="J61" s="38">
        <f t="shared" si="9"/>
        <v>148194.269</v>
      </c>
      <c r="K61" s="38">
        <f t="shared" si="9"/>
        <v>189085.80800000002</v>
      </c>
      <c r="L61" s="38">
        <f t="shared" si="9"/>
        <v>148249.27000000002</v>
      </c>
      <c r="M61" s="38">
        <f t="shared" si="9"/>
        <v>144365.26799999998</v>
      </c>
      <c r="N61" s="38">
        <f t="shared" si="9"/>
        <v>129609.30099999999</v>
      </c>
      <c r="O61" s="39">
        <f t="shared" si="7"/>
        <v>1710964.94</v>
      </c>
      <c r="R61" s="27">
        <v>10123</v>
      </c>
      <c r="S61" s="27" t="s">
        <v>50</v>
      </c>
      <c r="T61" s="28">
        <v>6.7612900000000004E-2</v>
      </c>
      <c r="U61" s="28">
        <v>6.2153600000000003E-2</v>
      </c>
      <c r="V61" s="28">
        <v>2.7728900000000001E-2</v>
      </c>
      <c r="W61" s="28">
        <v>2.2269600000000001E-2</v>
      </c>
      <c r="X61" s="28">
        <v>3.9884000000000003E-2</v>
      </c>
      <c r="Y61" s="28">
        <v>3.9884000000000003E-2</v>
      </c>
      <c r="Z61" s="29">
        <v>546.29200000000003</v>
      </c>
      <c r="AA61" s="29">
        <v>474.94799999999998</v>
      </c>
      <c r="AB61" s="29">
        <v>436.59899999999999</v>
      </c>
      <c r="AC61" s="30">
        <v>0</v>
      </c>
    </row>
    <row r="62" spans="1:29" x14ac:dyDescent="0.3">
      <c r="A62" s="27">
        <f t="shared" si="4"/>
        <v>10136</v>
      </c>
      <c r="B62" s="27" t="str">
        <f t="shared" si="5"/>
        <v>Douglas Electric Cooperative</v>
      </c>
      <c r="C62" s="38">
        <f t="shared" si="6"/>
        <v>11908.522999999999</v>
      </c>
      <c r="D62" s="38">
        <f t="shared" si="9"/>
        <v>15127.539000000001</v>
      </c>
      <c r="E62" s="38">
        <f t="shared" si="9"/>
        <v>14944.853999999999</v>
      </c>
      <c r="F62" s="38">
        <f t="shared" si="9"/>
        <v>12457.445</v>
      </c>
      <c r="G62" s="38">
        <f t="shared" si="9"/>
        <v>11285.152999999998</v>
      </c>
      <c r="H62" s="38">
        <f t="shared" si="9"/>
        <v>12552.675999999999</v>
      </c>
      <c r="I62" s="38">
        <f t="shared" si="9"/>
        <v>10220.402</v>
      </c>
      <c r="J62" s="38">
        <f t="shared" si="9"/>
        <v>13783.736000000001</v>
      </c>
      <c r="K62" s="38">
        <f t="shared" si="9"/>
        <v>17587.11</v>
      </c>
      <c r="L62" s="38">
        <f t="shared" si="9"/>
        <v>13788.852000000001</v>
      </c>
      <c r="M62" s="38">
        <f t="shared" si="9"/>
        <v>13427.596000000001</v>
      </c>
      <c r="N62" s="38">
        <f t="shared" si="9"/>
        <v>12055.125</v>
      </c>
      <c r="O62" s="39">
        <f t="shared" si="7"/>
        <v>159139.011</v>
      </c>
      <c r="R62" s="27">
        <v>10136</v>
      </c>
      <c r="S62" s="27" t="s">
        <v>51</v>
      </c>
      <c r="T62" s="28">
        <v>2.5791E-3</v>
      </c>
      <c r="U62" s="28">
        <v>2.5841000000000002E-3</v>
      </c>
      <c r="V62" s="28">
        <v>2.5791E-3</v>
      </c>
      <c r="W62" s="28">
        <v>2.5841000000000002E-3</v>
      </c>
      <c r="X62" s="28">
        <v>0</v>
      </c>
      <c r="Y62" s="28">
        <v>0</v>
      </c>
      <c r="Z62" s="29">
        <v>18.439</v>
      </c>
      <c r="AA62" s="29">
        <v>18.117000000000001</v>
      </c>
      <c r="AB62" s="29">
        <v>18.152000000000001</v>
      </c>
      <c r="AC62" s="30">
        <v>7.0000000000000007E-2</v>
      </c>
    </row>
    <row r="63" spans="1:29" x14ac:dyDescent="0.3">
      <c r="A63" s="27">
        <f t="shared" si="4"/>
        <v>10142</v>
      </c>
      <c r="B63" s="27" t="str">
        <f t="shared" si="5"/>
        <v>East End Mutual Electric</v>
      </c>
      <c r="C63" s="38">
        <f t="shared" si="6"/>
        <v>1756.8890000000001</v>
      </c>
      <c r="D63" s="38">
        <f t="shared" ref="D63:N77" si="10">ROUND(D$3*$V63, 3)+ROUND(D$4*$V63,3)</f>
        <v>2231.797</v>
      </c>
      <c r="E63" s="38">
        <f t="shared" si="10"/>
        <v>2204.846</v>
      </c>
      <c r="F63" s="38">
        <f t="shared" si="10"/>
        <v>1837.8719999999998</v>
      </c>
      <c r="G63" s="38">
        <f t="shared" si="10"/>
        <v>1664.922</v>
      </c>
      <c r="H63" s="38">
        <f t="shared" si="10"/>
        <v>1851.922</v>
      </c>
      <c r="I63" s="38">
        <f t="shared" si="10"/>
        <v>1507.837</v>
      </c>
      <c r="J63" s="38">
        <f t="shared" si="10"/>
        <v>2033.5430000000001</v>
      </c>
      <c r="K63" s="38">
        <f t="shared" si="10"/>
        <v>2594.663</v>
      </c>
      <c r="L63" s="38">
        <f t="shared" si="10"/>
        <v>2034.2979999999998</v>
      </c>
      <c r="M63" s="38">
        <f t="shared" si="10"/>
        <v>1981.0010000000002</v>
      </c>
      <c r="N63" s="38">
        <f t="shared" si="10"/>
        <v>1778.5169999999998</v>
      </c>
      <c r="O63" s="39">
        <f t="shared" si="7"/>
        <v>23478.107</v>
      </c>
      <c r="R63" s="27">
        <v>10142</v>
      </c>
      <c r="S63" s="27" t="s">
        <v>52</v>
      </c>
      <c r="T63" s="28">
        <v>3.8049999999999998E-4</v>
      </c>
      <c r="U63" s="28">
        <v>3.8049999999999998E-4</v>
      </c>
      <c r="V63" s="28">
        <v>3.8049999999999998E-4</v>
      </c>
      <c r="W63" s="28">
        <v>3.8049999999999998E-4</v>
      </c>
      <c r="X63" s="28">
        <v>0</v>
      </c>
      <c r="Y63" s="28">
        <v>0</v>
      </c>
      <c r="Z63" s="29">
        <v>2.673</v>
      </c>
      <c r="AA63" s="29">
        <v>2.673</v>
      </c>
      <c r="AB63" s="29">
        <v>2.673</v>
      </c>
      <c r="AC63" s="30">
        <v>3.2960000000000003E-2</v>
      </c>
    </row>
    <row r="64" spans="1:29" x14ac:dyDescent="0.3">
      <c r="A64" s="27">
        <f t="shared" si="4"/>
        <v>10144</v>
      </c>
      <c r="B64" s="27" t="str">
        <f t="shared" si="5"/>
        <v>Eatonville, City of</v>
      </c>
      <c r="C64" s="38">
        <f t="shared" si="6"/>
        <v>2201.998</v>
      </c>
      <c r="D64" s="38">
        <f t="shared" si="10"/>
        <v>2797.2260000000001</v>
      </c>
      <c r="E64" s="38">
        <f t="shared" si="10"/>
        <v>2763.4449999999997</v>
      </c>
      <c r="F64" s="38">
        <f t="shared" si="10"/>
        <v>2303.4989999999998</v>
      </c>
      <c r="G64" s="38">
        <f t="shared" si="10"/>
        <v>2086.732</v>
      </c>
      <c r="H64" s="38">
        <f t="shared" si="10"/>
        <v>2321.1089999999999</v>
      </c>
      <c r="I64" s="38">
        <f t="shared" si="10"/>
        <v>1889.8490000000002</v>
      </c>
      <c r="J64" s="38">
        <f t="shared" si="10"/>
        <v>2548.7440000000001</v>
      </c>
      <c r="K64" s="38">
        <f t="shared" si="10"/>
        <v>3252.0230000000001</v>
      </c>
      <c r="L64" s="38">
        <f t="shared" si="10"/>
        <v>2549.6890000000003</v>
      </c>
      <c r="M64" s="38">
        <f t="shared" si="10"/>
        <v>2482.89</v>
      </c>
      <c r="N64" s="38">
        <f t="shared" si="10"/>
        <v>2229.107</v>
      </c>
      <c r="O64" s="39">
        <f t="shared" si="7"/>
        <v>29426.310999999998</v>
      </c>
      <c r="R64" s="27">
        <v>10144</v>
      </c>
      <c r="S64" s="27" t="s">
        <v>53</v>
      </c>
      <c r="T64" s="28">
        <v>4.7689999999999999E-4</v>
      </c>
      <c r="U64" s="28">
        <v>4.7689999999999999E-4</v>
      </c>
      <c r="V64" s="28">
        <v>4.7689999999999999E-4</v>
      </c>
      <c r="W64" s="28">
        <v>4.7689999999999999E-4</v>
      </c>
      <c r="X64" s="28">
        <v>0</v>
      </c>
      <c r="Y64" s="28">
        <v>0</v>
      </c>
      <c r="Z64" s="29">
        <v>3.35</v>
      </c>
      <c r="AA64" s="29">
        <v>3.35</v>
      </c>
      <c r="AB64" s="29">
        <v>3.35</v>
      </c>
      <c r="AC64" s="30">
        <v>0</v>
      </c>
    </row>
    <row r="65" spans="1:29" x14ac:dyDescent="0.3">
      <c r="A65" s="27">
        <f t="shared" si="4"/>
        <v>10156</v>
      </c>
      <c r="B65" s="27" t="str">
        <f t="shared" si="5"/>
        <v>Elmhurst Mutual P &amp; L</v>
      </c>
      <c r="C65" s="38">
        <f t="shared" si="6"/>
        <v>21078.053</v>
      </c>
      <c r="D65" s="38">
        <f t="shared" si="10"/>
        <v>26775.703000000001</v>
      </c>
      <c r="E65" s="38">
        <f t="shared" si="10"/>
        <v>26452.350000000002</v>
      </c>
      <c r="F65" s="38">
        <f t="shared" si="10"/>
        <v>22049.644999999997</v>
      </c>
      <c r="G65" s="38">
        <f t="shared" si="10"/>
        <v>19974.690999999999</v>
      </c>
      <c r="H65" s="38">
        <f t="shared" si="10"/>
        <v>22218.202000000001</v>
      </c>
      <c r="I65" s="38">
        <f t="shared" si="10"/>
        <v>18090.082999999999</v>
      </c>
      <c r="J65" s="38">
        <f t="shared" si="10"/>
        <v>24397.175999999999</v>
      </c>
      <c r="K65" s="38">
        <f t="shared" si="10"/>
        <v>31129.136999999999</v>
      </c>
      <c r="L65" s="38">
        <f t="shared" si="10"/>
        <v>24406.230000000003</v>
      </c>
      <c r="M65" s="38">
        <f t="shared" si="10"/>
        <v>23766.807999999997</v>
      </c>
      <c r="N65" s="38">
        <f t="shared" si="10"/>
        <v>21337.538</v>
      </c>
      <c r="O65" s="39">
        <f t="shared" si="7"/>
        <v>281675.61599999992</v>
      </c>
      <c r="R65" s="27">
        <v>10156</v>
      </c>
      <c r="S65" s="27" t="s">
        <v>54</v>
      </c>
      <c r="T65" s="28">
        <v>4.5649999999999996E-3</v>
      </c>
      <c r="U65" s="28">
        <v>4.5649999999999996E-3</v>
      </c>
      <c r="V65" s="28">
        <v>4.5649999999999996E-3</v>
      </c>
      <c r="W65" s="28">
        <v>4.5649999999999996E-3</v>
      </c>
      <c r="X65" s="28">
        <v>0</v>
      </c>
      <c r="Y65" s="28">
        <v>0</v>
      </c>
      <c r="Z65" s="29">
        <v>32.067</v>
      </c>
      <c r="AA65" s="29">
        <v>32.067</v>
      </c>
      <c r="AB65" s="29">
        <v>32.067</v>
      </c>
      <c r="AC65" s="30">
        <v>0</v>
      </c>
    </row>
    <row r="66" spans="1:29" x14ac:dyDescent="0.3">
      <c r="A66" s="27">
        <f t="shared" si="4"/>
        <v>10157</v>
      </c>
      <c r="B66" s="27" t="str">
        <f t="shared" si="5"/>
        <v>Emerald PUD</v>
      </c>
      <c r="C66" s="38">
        <f t="shared" si="6"/>
        <v>15588.987000000001</v>
      </c>
      <c r="D66" s="38">
        <f t="shared" si="10"/>
        <v>19802.875</v>
      </c>
      <c r="E66" s="38">
        <f t="shared" si="10"/>
        <v>19563.728999999999</v>
      </c>
      <c r="F66" s="38">
        <f t="shared" si="10"/>
        <v>16307.559000000001</v>
      </c>
      <c r="G66" s="38">
        <f t="shared" si="10"/>
        <v>14772.956999999999</v>
      </c>
      <c r="H66" s="38">
        <f t="shared" si="10"/>
        <v>16432.222000000002</v>
      </c>
      <c r="I66" s="38">
        <f t="shared" si="10"/>
        <v>13379.133000000002</v>
      </c>
      <c r="J66" s="38">
        <f t="shared" si="10"/>
        <v>18043.756000000001</v>
      </c>
      <c r="K66" s="38">
        <f t="shared" si="10"/>
        <v>23022.605</v>
      </c>
      <c r="L66" s="38">
        <f t="shared" si="10"/>
        <v>18050.453000000001</v>
      </c>
      <c r="M66" s="38">
        <f t="shared" si="10"/>
        <v>17577.546999999999</v>
      </c>
      <c r="N66" s="38">
        <f t="shared" si="10"/>
        <v>15780.897000000001</v>
      </c>
      <c r="O66" s="39">
        <f t="shared" si="7"/>
        <v>208322.72</v>
      </c>
      <c r="R66" s="27">
        <v>10157</v>
      </c>
      <c r="S66" s="27" t="s">
        <v>55</v>
      </c>
      <c r="T66" s="28">
        <v>7.0742000000000001E-3</v>
      </c>
      <c r="U66" s="28">
        <v>7.0742000000000001E-3</v>
      </c>
      <c r="V66" s="28">
        <v>3.3762000000000002E-3</v>
      </c>
      <c r="W66" s="28">
        <v>3.3762000000000002E-3</v>
      </c>
      <c r="X66" s="28">
        <v>3.6979999999999999E-3</v>
      </c>
      <c r="Y66" s="28">
        <v>3.6979999999999999E-3</v>
      </c>
      <c r="Z66" s="29">
        <v>49.692999999999998</v>
      </c>
      <c r="AA66" s="29">
        <v>49.692999999999998</v>
      </c>
      <c r="AB66" s="29">
        <v>49.692999999999998</v>
      </c>
      <c r="AC66" s="30">
        <v>5.2499999999999998E-2</v>
      </c>
    </row>
    <row r="67" spans="1:29" x14ac:dyDescent="0.3">
      <c r="A67" s="27">
        <f t="shared" si="4"/>
        <v>10158</v>
      </c>
      <c r="B67" s="27" t="str">
        <f t="shared" si="5"/>
        <v>Energy Northwest</v>
      </c>
      <c r="C67" s="38">
        <f t="shared" si="6"/>
        <v>1587.896</v>
      </c>
      <c r="D67" s="38">
        <f t="shared" si="10"/>
        <v>2017.123</v>
      </c>
      <c r="E67" s="38">
        <f t="shared" si="10"/>
        <v>1992.7629999999999</v>
      </c>
      <c r="F67" s="38">
        <f t="shared" si="10"/>
        <v>1661.0889999999999</v>
      </c>
      <c r="G67" s="38">
        <f t="shared" si="10"/>
        <v>1504.7739999999999</v>
      </c>
      <c r="H67" s="38">
        <f t="shared" si="10"/>
        <v>1673.788</v>
      </c>
      <c r="I67" s="38">
        <f t="shared" si="10"/>
        <v>1362.8</v>
      </c>
      <c r="J67" s="38">
        <f t="shared" si="10"/>
        <v>1837.9380000000001</v>
      </c>
      <c r="K67" s="38">
        <f t="shared" si="10"/>
        <v>2345.085</v>
      </c>
      <c r="L67" s="38">
        <f t="shared" si="10"/>
        <v>1838.6210000000001</v>
      </c>
      <c r="M67" s="38">
        <f t="shared" si="10"/>
        <v>1790.451</v>
      </c>
      <c r="N67" s="38">
        <f t="shared" si="10"/>
        <v>1607.443</v>
      </c>
      <c r="O67" s="39">
        <f t="shared" si="7"/>
        <v>21219.771000000001</v>
      </c>
      <c r="R67" s="27">
        <v>10158</v>
      </c>
      <c r="S67" s="27" t="s">
        <v>56</v>
      </c>
      <c r="T67" s="28">
        <v>3.4390000000000001E-4</v>
      </c>
      <c r="U67" s="28">
        <v>3.4370000000000001E-4</v>
      </c>
      <c r="V67" s="28">
        <v>3.4390000000000001E-4</v>
      </c>
      <c r="W67" s="28">
        <v>3.4370000000000001E-4</v>
      </c>
      <c r="X67" s="28">
        <v>0</v>
      </c>
      <c r="Y67" s="28">
        <v>0</v>
      </c>
      <c r="Z67" s="29">
        <v>2.7770000000000001</v>
      </c>
      <c r="AA67" s="29">
        <v>2.4159999999999999</v>
      </c>
      <c r="AB67" s="29">
        <v>2.4140000000000001</v>
      </c>
      <c r="AC67" s="30">
        <v>0</v>
      </c>
    </row>
    <row r="68" spans="1:29" x14ac:dyDescent="0.3">
      <c r="A68" s="27">
        <f t="shared" si="4"/>
        <v>10170</v>
      </c>
      <c r="B68" s="27" t="str">
        <f t="shared" si="5"/>
        <v>Eugene Water &amp; Electric Board</v>
      </c>
      <c r="C68" s="38">
        <f t="shared" si="6"/>
        <v>72003.828999999998</v>
      </c>
      <c r="D68" s="38">
        <f t="shared" si="10"/>
        <v>91467.325000000012</v>
      </c>
      <c r="E68" s="38">
        <f t="shared" si="10"/>
        <v>90362.733999999997</v>
      </c>
      <c r="F68" s="38">
        <f t="shared" si="10"/>
        <v>75322.842999999993</v>
      </c>
      <c r="G68" s="38">
        <f t="shared" si="10"/>
        <v>68234.680999999997</v>
      </c>
      <c r="H68" s="38">
        <f t="shared" si="10"/>
        <v>75898.641999999993</v>
      </c>
      <c r="I68" s="38">
        <f t="shared" si="10"/>
        <v>61796.756999999998</v>
      </c>
      <c r="J68" s="38">
        <f t="shared" si="10"/>
        <v>83342.141000000003</v>
      </c>
      <c r="K68" s="38">
        <f t="shared" si="10"/>
        <v>106338.90400000001</v>
      </c>
      <c r="L68" s="38">
        <f t="shared" si="10"/>
        <v>83373.072</v>
      </c>
      <c r="M68" s="38">
        <f t="shared" si="10"/>
        <v>81188.771000000008</v>
      </c>
      <c r="N68" s="38">
        <f t="shared" si="10"/>
        <v>72890.244999999995</v>
      </c>
      <c r="O68" s="39">
        <f t="shared" si="7"/>
        <v>962219.94400000002</v>
      </c>
      <c r="R68" s="27">
        <v>10170</v>
      </c>
      <c r="S68" s="27" t="s">
        <v>57</v>
      </c>
      <c r="T68" s="28">
        <v>3.3527899999999999E-2</v>
      </c>
      <c r="U68" s="28">
        <v>3.3946999999999998E-2</v>
      </c>
      <c r="V68" s="28">
        <v>1.5594299999999998E-2</v>
      </c>
      <c r="W68" s="28">
        <v>1.6013399999999997E-2</v>
      </c>
      <c r="X68" s="28">
        <v>1.7933600000000001E-2</v>
      </c>
      <c r="Y68" s="28">
        <v>1.7933600000000001E-2</v>
      </c>
      <c r="Z68" s="29">
        <v>249.768</v>
      </c>
      <c r="AA68" s="29">
        <v>235.517</v>
      </c>
      <c r="AB68" s="29">
        <v>238.46100000000001</v>
      </c>
      <c r="AC68" s="30">
        <v>0</v>
      </c>
    </row>
    <row r="69" spans="1:29" x14ac:dyDescent="0.3">
      <c r="A69" s="27">
        <f t="shared" si="4"/>
        <v>10172</v>
      </c>
      <c r="B69" s="27" t="str">
        <f t="shared" si="5"/>
        <v>U.S. Airforce Base, Fairchild</v>
      </c>
      <c r="C69" s="38">
        <f t="shared" si="6"/>
        <v>3549.3319999999999</v>
      </c>
      <c r="D69" s="38">
        <f t="shared" si="10"/>
        <v>4508.7579999999998</v>
      </c>
      <c r="E69" s="38">
        <f t="shared" si="10"/>
        <v>4454.3099999999995</v>
      </c>
      <c r="F69" s="38">
        <f t="shared" si="10"/>
        <v>3712.9380000000001</v>
      </c>
      <c r="G69" s="38">
        <f t="shared" si="10"/>
        <v>3363.5369999999998</v>
      </c>
      <c r="H69" s="38">
        <f t="shared" si="10"/>
        <v>3741.3209999999999</v>
      </c>
      <c r="I69" s="38">
        <f t="shared" si="10"/>
        <v>3046.1880000000001</v>
      </c>
      <c r="J69" s="38">
        <f t="shared" si="10"/>
        <v>4108.2389999999996</v>
      </c>
      <c r="K69" s="38">
        <f t="shared" si="10"/>
        <v>5241.8330000000005</v>
      </c>
      <c r="L69" s="38">
        <f t="shared" si="10"/>
        <v>4109.7629999999999</v>
      </c>
      <c r="M69" s="38">
        <f t="shared" si="10"/>
        <v>4002.0910000000003</v>
      </c>
      <c r="N69" s="38">
        <f t="shared" si="10"/>
        <v>3593.027</v>
      </c>
      <c r="O69" s="39">
        <f t="shared" si="7"/>
        <v>47431.337</v>
      </c>
      <c r="R69" s="27">
        <v>10172</v>
      </c>
      <c r="S69" s="27" t="s">
        <v>58</v>
      </c>
      <c r="T69" s="28">
        <v>7.6869999999999998E-4</v>
      </c>
      <c r="U69" s="28">
        <v>7.7269999999999997E-4</v>
      </c>
      <c r="V69" s="28">
        <v>7.6869999999999998E-4</v>
      </c>
      <c r="W69" s="28">
        <v>7.7269999999999997E-4</v>
      </c>
      <c r="X69" s="28">
        <v>0</v>
      </c>
      <c r="Y69" s="28">
        <v>0</v>
      </c>
      <c r="Z69" s="29">
        <v>6.07</v>
      </c>
      <c r="AA69" s="29">
        <v>5.4</v>
      </c>
      <c r="AB69" s="29">
        <v>5.4279999999999999</v>
      </c>
      <c r="AC69" s="30">
        <v>0</v>
      </c>
    </row>
    <row r="70" spans="1:29" x14ac:dyDescent="0.3">
      <c r="A70" s="27">
        <f t="shared" si="4"/>
        <v>10173</v>
      </c>
      <c r="B70" s="27" t="str">
        <f t="shared" si="5"/>
        <v>Fall River Elec Coop</v>
      </c>
      <c r="C70" s="38">
        <f t="shared" si="6"/>
        <v>21661.22</v>
      </c>
      <c r="D70" s="38">
        <f t="shared" si="10"/>
        <v>27516.506999999998</v>
      </c>
      <c r="E70" s="38">
        <f t="shared" si="10"/>
        <v>27184.207999999999</v>
      </c>
      <c r="F70" s="38">
        <f t="shared" si="10"/>
        <v>22659.692999999999</v>
      </c>
      <c r="G70" s="38">
        <f t="shared" si="10"/>
        <v>20527.331000000002</v>
      </c>
      <c r="H70" s="38">
        <f t="shared" si="10"/>
        <v>22832.913</v>
      </c>
      <c r="I70" s="38">
        <f t="shared" si="10"/>
        <v>18590.582999999999</v>
      </c>
      <c r="J70" s="38">
        <f t="shared" si="10"/>
        <v>25072.172999999999</v>
      </c>
      <c r="K70" s="38">
        <f t="shared" si="10"/>
        <v>31990.387000000002</v>
      </c>
      <c r="L70" s="38">
        <f t="shared" si="10"/>
        <v>25081.478999999999</v>
      </c>
      <c r="M70" s="38">
        <f t="shared" si="10"/>
        <v>24424.364999999998</v>
      </c>
      <c r="N70" s="38">
        <f t="shared" si="10"/>
        <v>21927.885000000002</v>
      </c>
      <c r="O70" s="39">
        <f t="shared" si="7"/>
        <v>289468.74400000001</v>
      </c>
      <c r="R70" s="27">
        <v>10173</v>
      </c>
      <c r="S70" s="27" t="s">
        <v>59</v>
      </c>
      <c r="T70" s="28">
        <v>4.6912999999999998E-3</v>
      </c>
      <c r="U70" s="28">
        <v>4.6912999999999998E-3</v>
      </c>
      <c r="V70" s="28">
        <v>4.6912999999999998E-3</v>
      </c>
      <c r="W70" s="28">
        <v>4.6912999999999998E-3</v>
      </c>
      <c r="X70" s="28">
        <v>0</v>
      </c>
      <c r="Y70" s="28">
        <v>0</v>
      </c>
      <c r="Z70" s="29">
        <v>32.954000000000001</v>
      </c>
      <c r="AA70" s="29">
        <v>32.954000000000001</v>
      </c>
      <c r="AB70" s="29">
        <v>32.954000000000001</v>
      </c>
      <c r="AC70" s="30">
        <v>7.8E-2</v>
      </c>
    </row>
    <row r="71" spans="1:29" x14ac:dyDescent="0.3">
      <c r="A71" s="27">
        <f t="shared" si="4"/>
        <v>10174</v>
      </c>
      <c r="B71" s="27" t="str">
        <f t="shared" si="5"/>
        <v>Farmers Elec Coop</v>
      </c>
      <c r="C71" s="38">
        <f t="shared" si="6"/>
        <v>326.90600000000001</v>
      </c>
      <c r="D71" s="38">
        <f t="shared" si="10"/>
        <v>415.27300000000002</v>
      </c>
      <c r="E71" s="38">
        <f t="shared" si="10"/>
        <v>410.25799999999998</v>
      </c>
      <c r="F71" s="38">
        <f t="shared" si="10"/>
        <v>341.97500000000002</v>
      </c>
      <c r="G71" s="38">
        <f t="shared" si="10"/>
        <v>309.79300000000001</v>
      </c>
      <c r="H71" s="38">
        <f t="shared" si="10"/>
        <v>344.589</v>
      </c>
      <c r="I71" s="38">
        <f t="shared" si="10"/>
        <v>280.565</v>
      </c>
      <c r="J71" s="38">
        <f t="shared" si="10"/>
        <v>378.38400000000001</v>
      </c>
      <c r="K71" s="38">
        <f t="shared" si="10"/>
        <v>482.79100000000005</v>
      </c>
      <c r="L71" s="38">
        <f t="shared" si="10"/>
        <v>378.524</v>
      </c>
      <c r="M71" s="38">
        <f t="shared" si="10"/>
        <v>368.60700000000003</v>
      </c>
      <c r="N71" s="38">
        <f t="shared" si="10"/>
        <v>330.93099999999998</v>
      </c>
      <c r="O71" s="39">
        <f t="shared" si="7"/>
        <v>4368.5960000000005</v>
      </c>
      <c r="R71" s="27">
        <v>10174</v>
      </c>
      <c r="S71" s="27" t="s">
        <v>60</v>
      </c>
      <c r="T71" s="28">
        <v>7.08E-5</v>
      </c>
      <c r="U71" s="28">
        <v>7.0599999999999995E-5</v>
      </c>
      <c r="V71" s="28">
        <v>7.08E-5</v>
      </c>
      <c r="W71" s="28">
        <v>7.0599999999999995E-5</v>
      </c>
      <c r="X71" s="28">
        <v>0</v>
      </c>
      <c r="Y71" s="28">
        <v>0</v>
      </c>
      <c r="Z71" s="29">
        <v>0.505</v>
      </c>
      <c r="AA71" s="29">
        <v>0.497</v>
      </c>
      <c r="AB71" s="29">
        <v>0.496</v>
      </c>
      <c r="AC71" s="30">
        <v>0</v>
      </c>
    </row>
    <row r="72" spans="1:29" x14ac:dyDescent="0.3">
      <c r="A72" s="27">
        <f t="shared" si="4"/>
        <v>10177</v>
      </c>
      <c r="B72" s="27" t="str">
        <f t="shared" si="5"/>
        <v>Ferry County PUD #1</v>
      </c>
      <c r="C72" s="38">
        <f t="shared" si="6"/>
        <v>6044.0690000000004</v>
      </c>
      <c r="D72" s="38">
        <f t="shared" si="10"/>
        <v>7677.8519999999999</v>
      </c>
      <c r="E72" s="38">
        <f t="shared" si="10"/>
        <v>7585.1319999999996</v>
      </c>
      <c r="F72" s="38">
        <f t="shared" si="10"/>
        <v>6322.6689999999999</v>
      </c>
      <c r="G72" s="38">
        <f t="shared" si="10"/>
        <v>5727.683</v>
      </c>
      <c r="H72" s="38">
        <f t="shared" si="10"/>
        <v>6371.0020000000004</v>
      </c>
      <c r="I72" s="38">
        <f t="shared" si="10"/>
        <v>5187.277</v>
      </c>
      <c r="J72" s="38">
        <f t="shared" si="10"/>
        <v>6995.8169999999991</v>
      </c>
      <c r="K72" s="38">
        <f t="shared" si="10"/>
        <v>8926.1859999999997</v>
      </c>
      <c r="L72" s="38">
        <f t="shared" si="10"/>
        <v>6998.4129999999996</v>
      </c>
      <c r="M72" s="38">
        <f t="shared" si="10"/>
        <v>6815.0599999999995</v>
      </c>
      <c r="N72" s="38">
        <f t="shared" si="10"/>
        <v>6118.4750000000004</v>
      </c>
      <c r="O72" s="39">
        <f t="shared" si="7"/>
        <v>80769.635000000009</v>
      </c>
      <c r="R72" s="27">
        <v>10177</v>
      </c>
      <c r="S72" s="27" t="s">
        <v>61</v>
      </c>
      <c r="T72" s="28">
        <v>1.3090000000000001E-3</v>
      </c>
      <c r="U72" s="28">
        <v>1.3156999999999999E-3</v>
      </c>
      <c r="V72" s="28">
        <v>1.3090000000000001E-3</v>
      </c>
      <c r="W72" s="28">
        <v>1.3156999999999999E-3</v>
      </c>
      <c r="X72" s="28">
        <v>0</v>
      </c>
      <c r="Y72" s="28">
        <v>0</v>
      </c>
      <c r="Z72" s="29">
        <v>11.603</v>
      </c>
      <c r="AA72" s="29">
        <v>9.1950000000000003</v>
      </c>
      <c r="AB72" s="29">
        <v>9.2420000000000009</v>
      </c>
      <c r="AC72" s="30">
        <v>7.0000000000000007E-2</v>
      </c>
    </row>
    <row r="73" spans="1:29" x14ac:dyDescent="0.3">
      <c r="A73" s="27">
        <f t="shared" si="4"/>
        <v>10179</v>
      </c>
      <c r="B73" s="27" t="str">
        <f t="shared" si="5"/>
        <v>Flathead Elec Coop</v>
      </c>
      <c r="C73" s="38">
        <f t="shared" si="6"/>
        <v>109073.96100000001</v>
      </c>
      <c r="D73" s="38">
        <f t="shared" si="10"/>
        <v>138557.95699999999</v>
      </c>
      <c r="E73" s="38">
        <f t="shared" si="10"/>
        <v>136884.68100000001</v>
      </c>
      <c r="F73" s="38">
        <f t="shared" si="10"/>
        <v>114101.71899999998</v>
      </c>
      <c r="G73" s="38">
        <f t="shared" si="10"/>
        <v>103364.321</v>
      </c>
      <c r="H73" s="38">
        <f t="shared" si="10"/>
        <v>114973.962</v>
      </c>
      <c r="I73" s="38">
        <f t="shared" si="10"/>
        <v>93611.923999999999</v>
      </c>
      <c r="J73" s="38">
        <f t="shared" si="10"/>
        <v>126249.63800000001</v>
      </c>
      <c r="K73" s="38">
        <f t="shared" si="10"/>
        <v>161085.951</v>
      </c>
      <c r="L73" s="38">
        <f t="shared" si="10"/>
        <v>126296.49400000001</v>
      </c>
      <c r="M73" s="38">
        <f t="shared" si="10"/>
        <v>122987.637</v>
      </c>
      <c r="N73" s="38">
        <f t="shared" si="10"/>
        <v>110416.734</v>
      </c>
      <c r="O73" s="39">
        <f t="shared" si="7"/>
        <v>1457604.9790000001</v>
      </c>
      <c r="R73" s="27">
        <v>10179</v>
      </c>
      <c r="S73" s="27" t="s">
        <v>62</v>
      </c>
      <c r="T73" s="28">
        <v>2.3622799999999999E-2</v>
      </c>
      <c r="U73" s="28">
        <v>2.3622799999999999E-2</v>
      </c>
      <c r="V73" s="28">
        <v>2.3622799999999999E-2</v>
      </c>
      <c r="W73" s="28">
        <v>2.3622799999999999E-2</v>
      </c>
      <c r="X73" s="28">
        <v>0</v>
      </c>
      <c r="Y73" s="28">
        <v>0</v>
      </c>
      <c r="Z73" s="29">
        <v>165.93899999999999</v>
      </c>
      <c r="AA73" s="29">
        <v>165.93899999999999</v>
      </c>
      <c r="AB73" s="29">
        <v>165.93899999999999</v>
      </c>
      <c r="AC73" s="30">
        <v>0</v>
      </c>
    </row>
    <row r="74" spans="1:29" x14ac:dyDescent="0.3">
      <c r="A74" s="27">
        <f t="shared" si="4"/>
        <v>10183</v>
      </c>
      <c r="B74" s="27" t="str">
        <f t="shared" si="5"/>
        <v>Franklin County PUD #1</v>
      </c>
      <c r="C74" s="38">
        <f t="shared" si="6"/>
        <v>40761.675999999999</v>
      </c>
      <c r="D74" s="38">
        <f t="shared" si="10"/>
        <v>51780.044999999998</v>
      </c>
      <c r="E74" s="38">
        <f t="shared" si="10"/>
        <v>51154.731</v>
      </c>
      <c r="F74" s="38">
        <f t="shared" si="10"/>
        <v>42640.582999999999</v>
      </c>
      <c r="G74" s="38">
        <f t="shared" si="10"/>
        <v>38627.945</v>
      </c>
      <c r="H74" s="38">
        <f t="shared" si="10"/>
        <v>42966.546000000002</v>
      </c>
      <c r="I74" s="38">
        <f t="shared" si="10"/>
        <v>34983.408000000003</v>
      </c>
      <c r="J74" s="38">
        <f t="shared" si="10"/>
        <v>47180.343000000001</v>
      </c>
      <c r="K74" s="38">
        <f t="shared" si="10"/>
        <v>60198.909</v>
      </c>
      <c r="L74" s="38">
        <f t="shared" si="10"/>
        <v>47197.853000000003</v>
      </c>
      <c r="M74" s="38">
        <f t="shared" si="10"/>
        <v>45961.311000000002</v>
      </c>
      <c r="N74" s="38">
        <f t="shared" si="10"/>
        <v>41263.479999999996</v>
      </c>
      <c r="O74" s="39">
        <f t="shared" si="7"/>
        <v>544716.82999999996</v>
      </c>
      <c r="R74" s="27">
        <v>10183</v>
      </c>
      <c r="S74" s="27" t="s">
        <v>63</v>
      </c>
      <c r="T74" s="28">
        <v>1.66175E-2</v>
      </c>
      <c r="U74" s="28">
        <v>1.66175E-2</v>
      </c>
      <c r="V74" s="28">
        <v>8.827999999999999E-3</v>
      </c>
      <c r="W74" s="28">
        <v>8.827999999999999E-3</v>
      </c>
      <c r="X74" s="28">
        <v>7.7895000000000004E-3</v>
      </c>
      <c r="Y74" s="28">
        <v>7.7895000000000004E-3</v>
      </c>
      <c r="Z74" s="29">
        <v>116.73</v>
      </c>
      <c r="AA74" s="29">
        <v>116.73</v>
      </c>
      <c r="AB74" s="29">
        <v>116.73</v>
      </c>
      <c r="AC74" s="30">
        <v>0</v>
      </c>
    </row>
    <row r="75" spans="1:29" x14ac:dyDescent="0.3">
      <c r="A75" s="27">
        <f t="shared" si="4"/>
        <v>10186</v>
      </c>
      <c r="B75" s="27" t="str">
        <f t="shared" si="5"/>
        <v>Glacier Elec  Coop</v>
      </c>
      <c r="C75" s="38">
        <f t="shared" si="6"/>
        <v>11705.361000000001</v>
      </c>
      <c r="D75" s="38">
        <f t="shared" si="10"/>
        <v>14869.459000000001</v>
      </c>
      <c r="E75" s="38">
        <f t="shared" si="10"/>
        <v>14689.891</v>
      </c>
      <c r="F75" s="38">
        <f t="shared" si="10"/>
        <v>12244.919</v>
      </c>
      <c r="G75" s="38">
        <f t="shared" si="10"/>
        <v>11092.626</v>
      </c>
      <c r="H75" s="38">
        <f t="shared" si="10"/>
        <v>12338.523999999999</v>
      </c>
      <c r="I75" s="38">
        <f t="shared" si="10"/>
        <v>10046.040000000001</v>
      </c>
      <c r="J75" s="38">
        <f t="shared" si="10"/>
        <v>13548.583000000001</v>
      </c>
      <c r="K75" s="38">
        <f t="shared" si="10"/>
        <v>17287.069</v>
      </c>
      <c r="L75" s="38">
        <f t="shared" si="10"/>
        <v>13553.611000000001</v>
      </c>
      <c r="M75" s="38">
        <f t="shared" si="10"/>
        <v>13198.518</v>
      </c>
      <c r="N75" s="38">
        <f t="shared" si="10"/>
        <v>11849.462</v>
      </c>
      <c r="O75" s="39">
        <f t="shared" si="7"/>
        <v>156424.06300000002</v>
      </c>
      <c r="R75" s="27">
        <v>10186</v>
      </c>
      <c r="S75" s="27" t="s">
        <v>64</v>
      </c>
      <c r="T75" s="28">
        <v>2.5351000000000002E-3</v>
      </c>
      <c r="U75" s="28">
        <v>2.9128000000000001E-3</v>
      </c>
      <c r="V75" s="28">
        <v>2.5351000000000002E-3</v>
      </c>
      <c r="W75" s="28">
        <v>2.9128000000000001E-3</v>
      </c>
      <c r="X75" s="28">
        <v>0</v>
      </c>
      <c r="Y75" s="28">
        <v>0</v>
      </c>
      <c r="Z75" s="29">
        <v>21.204000000000001</v>
      </c>
      <c r="AA75" s="29">
        <v>17.808</v>
      </c>
      <c r="AB75" s="29">
        <v>20.460999999999999</v>
      </c>
      <c r="AC75" s="30">
        <v>7.0000000000000007E-2</v>
      </c>
    </row>
    <row r="76" spans="1:29" x14ac:dyDescent="0.3">
      <c r="A76" s="27">
        <f t="shared" si="4"/>
        <v>10190</v>
      </c>
      <c r="B76" s="27" t="str">
        <f t="shared" si="5"/>
        <v>Grant County PUD #2</v>
      </c>
      <c r="C76" s="38">
        <f t="shared" si="6"/>
        <v>3394.19</v>
      </c>
      <c r="D76" s="38">
        <f t="shared" si="10"/>
        <v>4311.68</v>
      </c>
      <c r="E76" s="38">
        <f t="shared" si="10"/>
        <v>4259.6099999999997</v>
      </c>
      <c r="F76" s="38">
        <f t="shared" si="10"/>
        <v>3550.645</v>
      </c>
      <c r="G76" s="38">
        <f t="shared" si="10"/>
        <v>3216.5160000000001</v>
      </c>
      <c r="H76" s="38">
        <f t="shared" si="10"/>
        <v>3577.7879999999996</v>
      </c>
      <c r="I76" s="38">
        <f t="shared" si="10"/>
        <v>2913.038</v>
      </c>
      <c r="J76" s="38">
        <f t="shared" si="10"/>
        <v>3928.6670000000004</v>
      </c>
      <c r="K76" s="38">
        <f t="shared" si="10"/>
        <v>5012.7119999999995</v>
      </c>
      <c r="L76" s="38">
        <f t="shared" si="10"/>
        <v>3930.125</v>
      </c>
      <c r="M76" s="38">
        <f t="shared" si="10"/>
        <v>3827.1589999999997</v>
      </c>
      <c r="N76" s="38">
        <f t="shared" si="10"/>
        <v>3435.9750000000004</v>
      </c>
      <c r="O76" s="39">
        <f t="shared" si="7"/>
        <v>45358.105000000003</v>
      </c>
      <c r="R76" s="27">
        <v>10190</v>
      </c>
      <c r="S76" s="27" t="s">
        <v>65</v>
      </c>
      <c r="T76" s="28">
        <v>7.3510000000000003E-4</v>
      </c>
      <c r="U76" s="28">
        <v>7.3510000000000003E-4</v>
      </c>
      <c r="V76" s="28">
        <v>7.3510000000000003E-4</v>
      </c>
      <c r="W76" s="28">
        <v>7.3510000000000003E-4</v>
      </c>
      <c r="X76" s="28">
        <v>0</v>
      </c>
      <c r="Y76" s="28">
        <v>0</v>
      </c>
      <c r="Z76" s="29">
        <v>5.1639999999999997</v>
      </c>
      <c r="AA76" s="29">
        <v>5.1639999999999997</v>
      </c>
      <c r="AB76" s="29">
        <v>5.1639999999999997</v>
      </c>
      <c r="AC76" s="30">
        <v>0</v>
      </c>
    </row>
    <row r="77" spans="1:29" x14ac:dyDescent="0.3">
      <c r="A77" s="27">
        <f t="shared" si="4"/>
        <v>10191</v>
      </c>
      <c r="B77" s="27" t="str">
        <f t="shared" si="5"/>
        <v>Grays Harbor PUD #1</v>
      </c>
      <c r="C77" s="38">
        <f t="shared" si="6"/>
        <v>40677.641000000003</v>
      </c>
      <c r="D77" s="38">
        <f t="shared" si="10"/>
        <v>51673.292999999998</v>
      </c>
      <c r="E77" s="38">
        <f t="shared" si="10"/>
        <v>51049.269</v>
      </c>
      <c r="F77" s="38">
        <f t="shared" si="10"/>
        <v>42552.675000000003</v>
      </c>
      <c r="G77" s="38">
        <f t="shared" si="10"/>
        <v>38548.309000000001</v>
      </c>
      <c r="H77" s="38">
        <f t="shared" si="10"/>
        <v>42877.966</v>
      </c>
      <c r="I77" s="38">
        <f t="shared" si="10"/>
        <v>34911.286</v>
      </c>
      <c r="J77" s="38">
        <f t="shared" si="10"/>
        <v>47083.074999999997</v>
      </c>
      <c r="K77" s="38">
        <f t="shared" si="10"/>
        <v>60074.802000000003</v>
      </c>
      <c r="L77" s="38">
        <f t="shared" si="10"/>
        <v>47100.548999999999</v>
      </c>
      <c r="M77" s="38">
        <f t="shared" si="10"/>
        <v>45866.556000000004</v>
      </c>
      <c r="N77" s="38">
        <f t="shared" si="10"/>
        <v>41178.410000000003</v>
      </c>
      <c r="O77" s="39">
        <f t="shared" si="7"/>
        <v>543593.83100000012</v>
      </c>
      <c r="R77" s="27">
        <v>10191</v>
      </c>
      <c r="S77" s="27" t="s">
        <v>66</v>
      </c>
      <c r="T77" s="28">
        <v>1.8492499999999999E-2</v>
      </c>
      <c r="U77" s="28">
        <v>1.83889E-2</v>
      </c>
      <c r="V77" s="28">
        <v>8.8097999999999978E-3</v>
      </c>
      <c r="W77" s="28">
        <v>8.706199999999999E-3</v>
      </c>
      <c r="X77" s="28">
        <v>9.6827000000000007E-3</v>
      </c>
      <c r="Y77" s="28">
        <v>9.6827000000000007E-3</v>
      </c>
      <c r="Z77" s="29">
        <v>130.52199999999999</v>
      </c>
      <c r="AA77" s="29">
        <v>129.90100000000001</v>
      </c>
      <c r="AB77" s="29">
        <v>129.173</v>
      </c>
      <c r="AC77" s="30">
        <v>0</v>
      </c>
    </row>
    <row r="78" spans="1:29" x14ac:dyDescent="0.3">
      <c r="A78" s="27">
        <f t="shared" ref="A78:A141" si="11">R78</f>
        <v>10197</v>
      </c>
      <c r="B78" s="27" t="str">
        <f t="shared" ref="B78:B141" si="12">S78</f>
        <v>Harney Elec Coop</v>
      </c>
      <c r="C78" s="38">
        <f t="shared" ref="C78:N141" si="13">ROUND(C$3*$V78, 3)+ROUND(C$4*$V78,3)</f>
        <v>14876.535</v>
      </c>
      <c r="D78" s="38">
        <f t="shared" si="13"/>
        <v>18897.839</v>
      </c>
      <c r="E78" s="38">
        <f t="shared" si="13"/>
        <v>18669.623</v>
      </c>
      <c r="F78" s="38">
        <f t="shared" si="13"/>
        <v>15562.267</v>
      </c>
      <c r="G78" s="38">
        <f t="shared" si="13"/>
        <v>14097.8</v>
      </c>
      <c r="H78" s="38">
        <f t="shared" si="13"/>
        <v>15681.232</v>
      </c>
      <c r="I78" s="38">
        <f t="shared" si="13"/>
        <v>12767.675999999999</v>
      </c>
      <c r="J78" s="38">
        <f t="shared" si="13"/>
        <v>17219.114999999998</v>
      </c>
      <c r="K78" s="38">
        <f t="shared" si="13"/>
        <v>21970.419000000002</v>
      </c>
      <c r="L78" s="38">
        <f t="shared" si="13"/>
        <v>17225.505000000001</v>
      </c>
      <c r="M78" s="38">
        <f t="shared" si="13"/>
        <v>16774.213</v>
      </c>
      <c r="N78" s="38">
        <f t="shared" si="13"/>
        <v>15059.673999999999</v>
      </c>
      <c r="O78" s="39">
        <f t="shared" ref="O78:O141" si="14">SUM(C78:N78)</f>
        <v>198801.89799999999</v>
      </c>
      <c r="R78" s="27">
        <v>10197</v>
      </c>
      <c r="S78" s="27" t="s">
        <v>67</v>
      </c>
      <c r="T78" s="28">
        <v>3.2219000000000002E-3</v>
      </c>
      <c r="U78" s="28">
        <v>3.2219000000000002E-3</v>
      </c>
      <c r="V78" s="28">
        <v>3.2219000000000002E-3</v>
      </c>
      <c r="W78" s="28">
        <v>3.2219000000000002E-3</v>
      </c>
      <c r="X78" s="28">
        <v>0</v>
      </c>
      <c r="Y78" s="28">
        <v>0</v>
      </c>
      <c r="Z78" s="29">
        <v>22.632000000000001</v>
      </c>
      <c r="AA78" s="29">
        <v>22.632000000000001</v>
      </c>
      <c r="AB78" s="29">
        <v>22.632000000000001</v>
      </c>
      <c r="AC78" s="30">
        <v>7.7780000000000002E-2</v>
      </c>
    </row>
    <row r="79" spans="1:29" x14ac:dyDescent="0.3">
      <c r="A79" s="27">
        <f t="shared" si="11"/>
        <v>10202</v>
      </c>
      <c r="B79" s="27" t="str">
        <f t="shared" si="12"/>
        <v>Hood River Elec Coop</v>
      </c>
      <c r="C79" s="38">
        <f t="shared" si="13"/>
        <v>8564.1990000000005</v>
      </c>
      <c r="D79" s="38">
        <f t="shared" si="13"/>
        <v>10879.205</v>
      </c>
      <c r="E79" s="38">
        <f t="shared" si="13"/>
        <v>10747.824000000001</v>
      </c>
      <c r="F79" s="38">
        <f t="shared" si="13"/>
        <v>8958.9660000000003</v>
      </c>
      <c r="G79" s="38">
        <f t="shared" si="13"/>
        <v>8115.8940000000002</v>
      </c>
      <c r="H79" s="38">
        <f t="shared" si="13"/>
        <v>9027.4529999999995</v>
      </c>
      <c r="I79" s="38">
        <f t="shared" si="13"/>
        <v>7350.1620000000003</v>
      </c>
      <c r="J79" s="38">
        <f t="shared" si="13"/>
        <v>9912.7890000000007</v>
      </c>
      <c r="K79" s="38">
        <f t="shared" si="13"/>
        <v>12648.044000000002</v>
      </c>
      <c r="L79" s="38">
        <f t="shared" si="13"/>
        <v>9916.4680000000008</v>
      </c>
      <c r="M79" s="38">
        <f t="shared" si="13"/>
        <v>9656.6650000000009</v>
      </c>
      <c r="N79" s="38">
        <f t="shared" si="13"/>
        <v>8669.6309999999994</v>
      </c>
      <c r="O79" s="39">
        <f t="shared" si="14"/>
        <v>114447.30000000002</v>
      </c>
      <c r="R79" s="27">
        <v>10202</v>
      </c>
      <c r="S79" s="27" t="s">
        <v>68</v>
      </c>
      <c r="T79" s="28">
        <v>1.8548E-3</v>
      </c>
      <c r="U79" s="28">
        <v>1.8548E-3</v>
      </c>
      <c r="V79" s="28">
        <v>1.8548E-3</v>
      </c>
      <c r="W79" s="28">
        <v>1.8548E-3</v>
      </c>
      <c r="X79" s="28">
        <v>0</v>
      </c>
      <c r="Y79" s="28">
        <v>0</v>
      </c>
      <c r="Z79" s="29">
        <v>13.029</v>
      </c>
      <c r="AA79" s="29">
        <v>13.029</v>
      </c>
      <c r="AB79" s="29">
        <v>13.029</v>
      </c>
      <c r="AC79" s="30">
        <v>0</v>
      </c>
    </row>
    <row r="80" spans="1:29" x14ac:dyDescent="0.3">
      <c r="A80" s="27">
        <f t="shared" si="11"/>
        <v>10203</v>
      </c>
      <c r="B80" s="27" t="str">
        <f t="shared" si="12"/>
        <v>Idaho County L &amp; P</v>
      </c>
      <c r="C80" s="38">
        <f t="shared" si="13"/>
        <v>4062.3160000000003</v>
      </c>
      <c r="D80" s="38">
        <f t="shared" si="13"/>
        <v>5160.4079999999994</v>
      </c>
      <c r="E80" s="38">
        <f t="shared" si="13"/>
        <v>5098.0889999999999</v>
      </c>
      <c r="F80" s="38">
        <f t="shared" si="13"/>
        <v>4249.5680000000002</v>
      </c>
      <c r="G80" s="38">
        <f t="shared" si="13"/>
        <v>3849.6670000000004</v>
      </c>
      <c r="H80" s="38">
        <f t="shared" si="13"/>
        <v>4282.0540000000001</v>
      </c>
      <c r="I80" s="38">
        <f t="shared" si="13"/>
        <v>3486.4530000000004</v>
      </c>
      <c r="J80" s="38">
        <f t="shared" si="13"/>
        <v>4702.0010000000002</v>
      </c>
      <c r="K80" s="38">
        <f t="shared" si="13"/>
        <v>5999.433</v>
      </c>
      <c r="L80" s="38">
        <f t="shared" si="13"/>
        <v>4703.7470000000003</v>
      </c>
      <c r="M80" s="38">
        <f t="shared" si="13"/>
        <v>4580.5120000000006</v>
      </c>
      <c r="N80" s="38">
        <f t="shared" si="13"/>
        <v>4112.326</v>
      </c>
      <c r="O80" s="39">
        <f t="shared" si="14"/>
        <v>54286.574000000008</v>
      </c>
      <c r="R80" s="27">
        <v>10203</v>
      </c>
      <c r="S80" s="27" t="s">
        <v>69</v>
      </c>
      <c r="T80" s="28">
        <v>8.7980000000000003E-4</v>
      </c>
      <c r="U80" s="28">
        <v>8.7980000000000003E-4</v>
      </c>
      <c r="V80" s="28">
        <v>8.7980000000000003E-4</v>
      </c>
      <c r="W80" s="28">
        <v>8.7980000000000003E-4</v>
      </c>
      <c r="X80" s="28">
        <v>0</v>
      </c>
      <c r="Y80" s="28">
        <v>0</v>
      </c>
      <c r="Z80" s="29">
        <v>6.18</v>
      </c>
      <c r="AA80" s="29">
        <v>6.18</v>
      </c>
      <c r="AB80" s="29">
        <v>6.18</v>
      </c>
      <c r="AC80" s="30">
        <v>7.2510000000000005E-2</v>
      </c>
    </row>
    <row r="81" spans="1:29" x14ac:dyDescent="0.3">
      <c r="A81" s="27">
        <f t="shared" si="11"/>
        <v>10204</v>
      </c>
      <c r="B81" s="27" t="str">
        <f t="shared" si="12"/>
        <v>Idaho Falls Power</v>
      </c>
      <c r="C81" s="38">
        <f t="shared" si="13"/>
        <v>15614.843000000001</v>
      </c>
      <c r="D81" s="38">
        <f t="shared" si="13"/>
        <v>19835.722999999998</v>
      </c>
      <c r="E81" s="38">
        <f t="shared" si="13"/>
        <v>19596.179</v>
      </c>
      <c r="F81" s="38">
        <f t="shared" si="13"/>
        <v>16334.609</v>
      </c>
      <c r="G81" s="38">
        <f t="shared" si="13"/>
        <v>14797.460999999999</v>
      </c>
      <c r="H81" s="38">
        <f t="shared" si="13"/>
        <v>16459.476999999999</v>
      </c>
      <c r="I81" s="38">
        <f t="shared" si="13"/>
        <v>13401.324000000001</v>
      </c>
      <c r="J81" s="38">
        <f t="shared" si="13"/>
        <v>18073.684000000001</v>
      </c>
      <c r="K81" s="38">
        <f t="shared" si="13"/>
        <v>23060.792000000001</v>
      </c>
      <c r="L81" s="38">
        <f t="shared" si="13"/>
        <v>18080.392</v>
      </c>
      <c r="M81" s="38">
        <f t="shared" si="13"/>
        <v>17606.701000000001</v>
      </c>
      <c r="N81" s="38">
        <f t="shared" si="13"/>
        <v>15807.072</v>
      </c>
      <c r="O81" s="39">
        <f t="shared" si="14"/>
        <v>208668.25699999998</v>
      </c>
      <c r="R81" s="27">
        <v>10204</v>
      </c>
      <c r="S81" s="27" t="s">
        <v>70</v>
      </c>
      <c r="T81" s="28">
        <v>8.8710999999999998E-3</v>
      </c>
      <c r="U81" s="28">
        <v>8.9125000000000003E-3</v>
      </c>
      <c r="V81" s="28">
        <v>3.3817999999999999E-3</v>
      </c>
      <c r="W81" s="28">
        <v>3.4232000000000004E-3</v>
      </c>
      <c r="X81" s="28">
        <v>5.4892999999999999E-3</v>
      </c>
      <c r="Y81" s="28">
        <v>5.4892999999999999E-3</v>
      </c>
      <c r="Z81" s="29">
        <v>79.135000000000005</v>
      </c>
      <c r="AA81" s="29">
        <v>62.314999999999998</v>
      </c>
      <c r="AB81" s="29">
        <v>62.606000000000002</v>
      </c>
      <c r="AC81" s="30">
        <v>0</v>
      </c>
    </row>
    <row r="82" spans="1:29" x14ac:dyDescent="0.3">
      <c r="A82" s="27">
        <f t="shared" si="11"/>
        <v>10209</v>
      </c>
      <c r="B82" s="27" t="str">
        <f t="shared" si="12"/>
        <v>Inland P &amp; L</v>
      </c>
      <c r="C82" s="38">
        <f t="shared" si="13"/>
        <v>68581.012000000002</v>
      </c>
      <c r="D82" s="38">
        <f t="shared" si="13"/>
        <v>87119.28</v>
      </c>
      <c r="E82" s="38">
        <f t="shared" si="13"/>
        <v>86067.197</v>
      </c>
      <c r="F82" s="38">
        <f t="shared" si="13"/>
        <v>71742.251000000004</v>
      </c>
      <c r="G82" s="38">
        <f t="shared" si="13"/>
        <v>64991.035999999993</v>
      </c>
      <c r="H82" s="38">
        <f t="shared" si="13"/>
        <v>72290.679000000004</v>
      </c>
      <c r="I82" s="38">
        <f t="shared" si="13"/>
        <v>58859.149000000005</v>
      </c>
      <c r="J82" s="38">
        <f t="shared" si="13"/>
        <v>79380.339000000007</v>
      </c>
      <c r="K82" s="38">
        <f t="shared" si="13"/>
        <v>101283.91399999999</v>
      </c>
      <c r="L82" s="38">
        <f t="shared" si="13"/>
        <v>79409.8</v>
      </c>
      <c r="M82" s="38">
        <f t="shared" si="13"/>
        <v>77329.332999999999</v>
      </c>
      <c r="N82" s="38">
        <f t="shared" si="13"/>
        <v>69425.290000000008</v>
      </c>
      <c r="O82" s="39">
        <f t="shared" si="14"/>
        <v>916479.28</v>
      </c>
      <c r="R82" s="27">
        <v>10209</v>
      </c>
      <c r="S82" s="27" t="s">
        <v>71</v>
      </c>
      <c r="T82" s="28">
        <v>1.4853E-2</v>
      </c>
      <c r="U82" s="28">
        <v>1.4853E-2</v>
      </c>
      <c r="V82" s="28">
        <v>1.4853E-2</v>
      </c>
      <c r="W82" s="28">
        <v>1.4853E-2</v>
      </c>
      <c r="X82" s="28">
        <v>0</v>
      </c>
      <c r="Y82" s="28">
        <v>0</v>
      </c>
      <c r="Z82" s="29">
        <v>104.33499999999999</v>
      </c>
      <c r="AA82" s="29">
        <v>104.33499999999999</v>
      </c>
      <c r="AB82" s="29">
        <v>104.33499999999999</v>
      </c>
      <c r="AC82" s="30">
        <v>7.3959999999999998E-2</v>
      </c>
    </row>
    <row r="83" spans="1:29" x14ac:dyDescent="0.3">
      <c r="A83" s="27">
        <f t="shared" si="11"/>
        <v>10230</v>
      </c>
      <c r="B83" s="27" t="str">
        <f t="shared" si="12"/>
        <v>Kittitas County PUD #1</v>
      </c>
      <c r="C83" s="38">
        <f t="shared" si="13"/>
        <v>6343.732</v>
      </c>
      <c r="D83" s="38">
        <f t="shared" si="13"/>
        <v>8058.518</v>
      </c>
      <c r="E83" s="38">
        <f t="shared" si="13"/>
        <v>7961.2020000000002</v>
      </c>
      <c r="F83" s="38">
        <f t="shared" si="13"/>
        <v>6636.1459999999997</v>
      </c>
      <c r="G83" s="38">
        <f t="shared" si="13"/>
        <v>6011.66</v>
      </c>
      <c r="H83" s="38">
        <f t="shared" si="13"/>
        <v>6686.875</v>
      </c>
      <c r="I83" s="38">
        <f t="shared" si="13"/>
        <v>5444.4610000000002</v>
      </c>
      <c r="J83" s="38">
        <f t="shared" si="13"/>
        <v>7342.6679999999997</v>
      </c>
      <c r="K83" s="38">
        <f t="shared" si="13"/>
        <v>9368.744999999999</v>
      </c>
      <c r="L83" s="38">
        <f t="shared" si="13"/>
        <v>7345.393</v>
      </c>
      <c r="M83" s="38">
        <f t="shared" si="13"/>
        <v>7152.95</v>
      </c>
      <c r="N83" s="38">
        <f t="shared" si="13"/>
        <v>6421.8270000000002</v>
      </c>
      <c r="O83" s="39">
        <f t="shared" si="14"/>
        <v>84774.176999999996</v>
      </c>
      <c r="R83" s="27">
        <v>10230</v>
      </c>
      <c r="S83" s="27" t="s">
        <v>72</v>
      </c>
      <c r="T83" s="28">
        <v>1.3738999999999999E-3</v>
      </c>
      <c r="U83" s="28">
        <v>1.3738999999999999E-3</v>
      </c>
      <c r="V83" s="28">
        <v>1.3738999999999999E-3</v>
      </c>
      <c r="W83" s="28">
        <v>1.3738999999999999E-3</v>
      </c>
      <c r="X83" s="28">
        <v>0</v>
      </c>
      <c r="Y83" s="28">
        <v>0</v>
      </c>
      <c r="Z83" s="29">
        <v>9.6509999999999998</v>
      </c>
      <c r="AA83" s="29">
        <v>9.6509999999999998</v>
      </c>
      <c r="AB83" s="29">
        <v>9.6509999999999998</v>
      </c>
      <c r="AC83" s="30">
        <v>8.7550000000000003E-2</v>
      </c>
    </row>
    <row r="84" spans="1:29" x14ac:dyDescent="0.3">
      <c r="A84" s="27">
        <f t="shared" si="11"/>
        <v>10231</v>
      </c>
      <c r="B84" s="27" t="str">
        <f t="shared" si="12"/>
        <v>Klickitat County PUD #1</v>
      </c>
      <c r="C84" s="38">
        <f t="shared" si="13"/>
        <v>23968.955000000002</v>
      </c>
      <c r="D84" s="38">
        <f t="shared" si="13"/>
        <v>30448.050999999999</v>
      </c>
      <c r="E84" s="38">
        <f t="shared" si="13"/>
        <v>30080.349000000002</v>
      </c>
      <c r="F84" s="38">
        <f t="shared" si="13"/>
        <v>25073.803</v>
      </c>
      <c r="G84" s="38">
        <f t="shared" si="13"/>
        <v>22714.264999999999</v>
      </c>
      <c r="H84" s="38">
        <f t="shared" si="13"/>
        <v>25265.477999999999</v>
      </c>
      <c r="I84" s="38">
        <f t="shared" si="13"/>
        <v>20571.18</v>
      </c>
      <c r="J84" s="38">
        <f t="shared" si="13"/>
        <v>27743.303</v>
      </c>
      <c r="K84" s="38">
        <f t="shared" si="13"/>
        <v>35398.567999999999</v>
      </c>
      <c r="L84" s="38">
        <f t="shared" si="13"/>
        <v>27753.599000000002</v>
      </c>
      <c r="M84" s="38">
        <f t="shared" si="13"/>
        <v>27026.478999999999</v>
      </c>
      <c r="N84" s="38">
        <f t="shared" si="13"/>
        <v>24264.029000000002</v>
      </c>
      <c r="O84" s="39">
        <f t="shared" si="14"/>
        <v>320308.05900000001</v>
      </c>
      <c r="R84" s="27">
        <v>10231</v>
      </c>
      <c r="S84" s="27" t="s">
        <v>73</v>
      </c>
      <c r="T84" s="28">
        <v>5.1910999999999997E-3</v>
      </c>
      <c r="U84" s="28">
        <v>5.1910999999999997E-3</v>
      </c>
      <c r="V84" s="28">
        <v>5.1910999999999997E-3</v>
      </c>
      <c r="W84" s="28">
        <v>5.1910999999999997E-3</v>
      </c>
      <c r="X84" s="28">
        <v>0</v>
      </c>
      <c r="Y84" s="28">
        <v>0</v>
      </c>
      <c r="Z84" s="29">
        <v>36.465000000000003</v>
      </c>
      <c r="AA84" s="29">
        <v>36.465000000000003</v>
      </c>
      <c r="AB84" s="29">
        <v>36.465000000000003</v>
      </c>
      <c r="AC84" s="30">
        <v>8.4919999999999995E-2</v>
      </c>
    </row>
    <row r="85" spans="1:29" x14ac:dyDescent="0.3">
      <c r="A85" s="27">
        <f t="shared" si="11"/>
        <v>10234</v>
      </c>
      <c r="B85" s="27" t="str">
        <f t="shared" si="12"/>
        <v>Kootenai Electric Coop</v>
      </c>
      <c r="C85" s="38">
        <f t="shared" si="13"/>
        <v>33344.879999999997</v>
      </c>
      <c r="D85" s="38">
        <f t="shared" si="13"/>
        <v>42358.399000000005</v>
      </c>
      <c r="E85" s="38">
        <f t="shared" si="13"/>
        <v>41846.864999999998</v>
      </c>
      <c r="F85" s="38">
        <f t="shared" si="13"/>
        <v>34881.910000000003</v>
      </c>
      <c r="G85" s="38">
        <f t="shared" si="13"/>
        <v>31599.392</v>
      </c>
      <c r="H85" s="38">
        <f t="shared" si="13"/>
        <v>35148.561999999998</v>
      </c>
      <c r="I85" s="38">
        <f t="shared" si="13"/>
        <v>28617.996999999996</v>
      </c>
      <c r="J85" s="38">
        <f t="shared" si="13"/>
        <v>38595.637000000002</v>
      </c>
      <c r="K85" s="38">
        <f t="shared" si="13"/>
        <v>49245.407999999996</v>
      </c>
      <c r="L85" s="38">
        <f t="shared" si="13"/>
        <v>38609.960999999996</v>
      </c>
      <c r="M85" s="38">
        <f t="shared" si="13"/>
        <v>37598.414000000004</v>
      </c>
      <c r="N85" s="38">
        <f t="shared" si="13"/>
        <v>33755.377999999997</v>
      </c>
      <c r="O85" s="39">
        <f t="shared" si="14"/>
        <v>445602.80299999996</v>
      </c>
      <c r="R85" s="27">
        <v>10234</v>
      </c>
      <c r="S85" s="27" t="s">
        <v>74</v>
      </c>
      <c r="T85" s="28">
        <v>7.2217000000000002E-3</v>
      </c>
      <c r="U85" s="28">
        <v>7.2217000000000002E-3</v>
      </c>
      <c r="V85" s="28">
        <v>7.2217000000000002E-3</v>
      </c>
      <c r="W85" s="28">
        <v>7.2217000000000002E-3</v>
      </c>
      <c r="X85" s="28">
        <v>0</v>
      </c>
      <c r="Y85" s="28">
        <v>0</v>
      </c>
      <c r="Z85" s="29">
        <v>50.728999999999999</v>
      </c>
      <c r="AA85" s="29">
        <v>50.728999999999999</v>
      </c>
      <c r="AB85" s="29">
        <v>50.728999999999999</v>
      </c>
      <c r="AC85" s="30">
        <v>5.9589999999999997E-2</v>
      </c>
    </row>
    <row r="86" spans="1:29" x14ac:dyDescent="0.3">
      <c r="A86" s="27">
        <f t="shared" si="11"/>
        <v>10235</v>
      </c>
      <c r="B86" s="27" t="str">
        <f t="shared" si="12"/>
        <v>Lakeview L &amp; P (WA)</v>
      </c>
      <c r="C86" s="38">
        <f t="shared" si="13"/>
        <v>20660.186000000002</v>
      </c>
      <c r="D86" s="38">
        <f t="shared" si="13"/>
        <v>26244.881000000001</v>
      </c>
      <c r="E86" s="38">
        <f t="shared" si="13"/>
        <v>25927.938000000002</v>
      </c>
      <c r="F86" s="38">
        <f t="shared" si="13"/>
        <v>21612.516</v>
      </c>
      <c r="G86" s="38">
        <f t="shared" si="13"/>
        <v>19578.698</v>
      </c>
      <c r="H86" s="38">
        <f t="shared" si="13"/>
        <v>21777.731</v>
      </c>
      <c r="I86" s="38">
        <f t="shared" si="13"/>
        <v>17731.452000000001</v>
      </c>
      <c r="J86" s="38">
        <f t="shared" si="13"/>
        <v>23913.508000000002</v>
      </c>
      <c r="K86" s="38">
        <f t="shared" si="13"/>
        <v>30512.008999999998</v>
      </c>
      <c r="L86" s="38">
        <f t="shared" si="13"/>
        <v>23922.383000000002</v>
      </c>
      <c r="M86" s="38">
        <f t="shared" si="13"/>
        <v>23295.636999999999</v>
      </c>
      <c r="N86" s="38">
        <f t="shared" si="13"/>
        <v>20914.527000000002</v>
      </c>
      <c r="O86" s="39">
        <f t="shared" si="14"/>
        <v>276091.46600000001</v>
      </c>
      <c r="R86" s="27">
        <v>10235</v>
      </c>
      <c r="S86" s="27" t="s">
        <v>75</v>
      </c>
      <c r="T86" s="28">
        <v>4.4745000000000002E-3</v>
      </c>
      <c r="U86" s="28">
        <v>4.4936999999999998E-3</v>
      </c>
      <c r="V86" s="28">
        <v>4.4745000000000002E-3</v>
      </c>
      <c r="W86" s="28">
        <v>4.4936999999999998E-3</v>
      </c>
      <c r="X86" s="28">
        <v>0</v>
      </c>
      <c r="Y86" s="28">
        <v>0</v>
      </c>
      <c r="Z86" s="29">
        <v>32.938000000000002</v>
      </c>
      <c r="AA86" s="29">
        <v>31.431000000000001</v>
      </c>
      <c r="AB86" s="29">
        <v>31.565999999999999</v>
      </c>
      <c r="AC86" s="30">
        <v>0</v>
      </c>
    </row>
    <row r="87" spans="1:29" x14ac:dyDescent="0.3">
      <c r="A87" s="27">
        <f t="shared" si="11"/>
        <v>10236</v>
      </c>
      <c r="B87" s="27" t="str">
        <f t="shared" si="12"/>
        <v>Lane County Elec Coop</v>
      </c>
      <c r="C87" s="38">
        <f t="shared" si="13"/>
        <v>18035.241000000002</v>
      </c>
      <c r="D87" s="38">
        <f t="shared" si="13"/>
        <v>22910.383000000002</v>
      </c>
      <c r="E87" s="38">
        <f t="shared" si="13"/>
        <v>22633.709000000003</v>
      </c>
      <c r="F87" s="38">
        <f t="shared" si="13"/>
        <v>18866.574000000001</v>
      </c>
      <c r="G87" s="38">
        <f t="shared" si="13"/>
        <v>17091.159</v>
      </c>
      <c r="H87" s="38">
        <f t="shared" si="13"/>
        <v>19010.797999999999</v>
      </c>
      <c r="I87" s="38">
        <f t="shared" si="13"/>
        <v>15478.612999999999</v>
      </c>
      <c r="J87" s="38">
        <f t="shared" si="13"/>
        <v>20875.217000000001</v>
      </c>
      <c r="K87" s="38">
        <f t="shared" si="13"/>
        <v>26635.358</v>
      </c>
      <c r="L87" s="38">
        <f t="shared" si="13"/>
        <v>20882.965</v>
      </c>
      <c r="M87" s="38">
        <f t="shared" si="13"/>
        <v>20335.849000000002</v>
      </c>
      <c r="N87" s="38">
        <f t="shared" si="13"/>
        <v>18257.267</v>
      </c>
      <c r="O87" s="39">
        <f t="shared" si="14"/>
        <v>241013.13300000003</v>
      </c>
      <c r="R87" s="27">
        <v>10236</v>
      </c>
      <c r="S87" s="27" t="s">
        <v>76</v>
      </c>
      <c r="T87" s="28">
        <v>3.9060000000000002E-3</v>
      </c>
      <c r="U87" s="28">
        <v>3.9022000000000002E-3</v>
      </c>
      <c r="V87" s="28">
        <v>3.9060000000000002E-3</v>
      </c>
      <c r="W87" s="28">
        <v>3.9022000000000002E-3</v>
      </c>
      <c r="X87" s="28">
        <v>0</v>
      </c>
      <c r="Y87" s="28">
        <v>0</v>
      </c>
      <c r="Z87" s="29">
        <v>28.949000000000002</v>
      </c>
      <c r="AA87" s="29">
        <v>27.437999999999999</v>
      </c>
      <c r="AB87" s="29">
        <v>27.411000000000001</v>
      </c>
      <c r="AC87" s="30">
        <v>6.5000000000000002E-2</v>
      </c>
    </row>
    <row r="88" spans="1:29" x14ac:dyDescent="0.3">
      <c r="A88" s="27">
        <f t="shared" si="11"/>
        <v>10237</v>
      </c>
      <c r="B88" s="27" t="str">
        <f t="shared" si="12"/>
        <v>Lewis County PUD #1</v>
      </c>
      <c r="C88" s="38">
        <f t="shared" si="13"/>
        <v>27358.065999999999</v>
      </c>
      <c r="D88" s="38">
        <f t="shared" si="13"/>
        <v>34753.277999999998</v>
      </c>
      <c r="E88" s="38">
        <f t="shared" si="13"/>
        <v>34333.586000000003</v>
      </c>
      <c r="F88" s="38">
        <f t="shared" si="13"/>
        <v>28619.134999999998</v>
      </c>
      <c r="G88" s="38">
        <f t="shared" si="13"/>
        <v>25925.967000000001</v>
      </c>
      <c r="H88" s="38">
        <f t="shared" si="13"/>
        <v>28837.911999999997</v>
      </c>
      <c r="I88" s="38">
        <f t="shared" si="13"/>
        <v>23479.859</v>
      </c>
      <c r="J88" s="38">
        <f t="shared" si="13"/>
        <v>31666.091</v>
      </c>
      <c r="K88" s="38">
        <f t="shared" si="13"/>
        <v>40403.777999999998</v>
      </c>
      <c r="L88" s="38">
        <f t="shared" si="13"/>
        <v>31677.843000000001</v>
      </c>
      <c r="M88" s="38">
        <f t="shared" si="13"/>
        <v>30847.911</v>
      </c>
      <c r="N88" s="38">
        <f t="shared" si="13"/>
        <v>27694.862000000001</v>
      </c>
      <c r="O88" s="39">
        <f t="shared" si="14"/>
        <v>365598.288</v>
      </c>
      <c r="R88" s="27">
        <v>10237</v>
      </c>
      <c r="S88" s="27" t="s">
        <v>77</v>
      </c>
      <c r="T88" s="28">
        <v>1.5529899999999999E-2</v>
      </c>
      <c r="U88" s="28">
        <v>1.55579E-2</v>
      </c>
      <c r="V88" s="28">
        <v>5.9250999999999991E-3</v>
      </c>
      <c r="W88" s="28">
        <v>5.9530999999999994E-3</v>
      </c>
      <c r="X88" s="28">
        <v>9.6048000000000001E-3</v>
      </c>
      <c r="Y88" s="28">
        <v>9.6048000000000001E-3</v>
      </c>
      <c r="Z88" s="29">
        <v>113.13</v>
      </c>
      <c r="AA88" s="29">
        <v>109.09</v>
      </c>
      <c r="AB88" s="29">
        <v>109.28700000000001</v>
      </c>
      <c r="AC88" s="30">
        <v>0.05</v>
      </c>
    </row>
    <row r="89" spans="1:29" x14ac:dyDescent="0.3">
      <c r="A89" s="27">
        <f t="shared" si="11"/>
        <v>10239</v>
      </c>
      <c r="B89" s="27" t="str">
        <f t="shared" si="12"/>
        <v>Lincoln Elec Coop (MT)</v>
      </c>
      <c r="C89" s="38">
        <f t="shared" si="13"/>
        <v>9153.8310000000001</v>
      </c>
      <c r="D89" s="38">
        <f t="shared" si="13"/>
        <v>11628.221000000001</v>
      </c>
      <c r="E89" s="38">
        <f t="shared" si="13"/>
        <v>11487.794999999998</v>
      </c>
      <c r="F89" s="38">
        <f t="shared" si="13"/>
        <v>9575.777</v>
      </c>
      <c r="G89" s="38">
        <f t="shared" si="13"/>
        <v>8674.6610000000001</v>
      </c>
      <c r="H89" s="38">
        <f t="shared" si="13"/>
        <v>9648.9779999999992</v>
      </c>
      <c r="I89" s="38">
        <f t="shared" si="13"/>
        <v>7856.2090000000007</v>
      </c>
      <c r="J89" s="38">
        <f t="shared" si="13"/>
        <v>10595.269</v>
      </c>
      <c r="K89" s="38">
        <f t="shared" si="13"/>
        <v>13518.842000000001</v>
      </c>
      <c r="L89" s="38">
        <f t="shared" si="13"/>
        <v>10599.200999999999</v>
      </c>
      <c r="M89" s="38">
        <f t="shared" si="13"/>
        <v>10321.511</v>
      </c>
      <c r="N89" s="38">
        <f t="shared" si="13"/>
        <v>9266.5210000000006</v>
      </c>
      <c r="O89" s="39">
        <f t="shared" si="14"/>
        <v>122326.81600000002</v>
      </c>
      <c r="R89" s="27">
        <v>10239</v>
      </c>
      <c r="S89" s="27" t="s">
        <v>78</v>
      </c>
      <c r="T89" s="28">
        <v>1.9824999999999999E-3</v>
      </c>
      <c r="U89" s="28">
        <v>1.9821000000000001E-3</v>
      </c>
      <c r="V89" s="28">
        <v>1.9824999999999999E-3</v>
      </c>
      <c r="W89" s="28">
        <v>1.9821000000000001E-3</v>
      </c>
      <c r="X89" s="28">
        <v>0</v>
      </c>
      <c r="Y89" s="28">
        <v>0</v>
      </c>
      <c r="Z89" s="29">
        <v>13.926</v>
      </c>
      <c r="AA89" s="29">
        <v>13.926</v>
      </c>
      <c r="AB89" s="29">
        <v>13.923</v>
      </c>
      <c r="AC89" s="30">
        <v>7.0050000000000001E-2</v>
      </c>
    </row>
    <row r="90" spans="1:29" x14ac:dyDescent="0.3">
      <c r="A90" s="27">
        <f t="shared" si="11"/>
        <v>10242</v>
      </c>
      <c r="B90" s="27" t="str">
        <f t="shared" si="12"/>
        <v>Lost River Elec Coop</v>
      </c>
      <c r="C90" s="38">
        <f t="shared" si="13"/>
        <v>6227.8369999999995</v>
      </c>
      <c r="D90" s="38">
        <f t="shared" si="13"/>
        <v>7911.2960000000003</v>
      </c>
      <c r="E90" s="38">
        <f t="shared" si="13"/>
        <v>7815.7559999999994</v>
      </c>
      <c r="F90" s="38">
        <f t="shared" si="13"/>
        <v>6514.9089999999997</v>
      </c>
      <c r="G90" s="38">
        <f t="shared" si="13"/>
        <v>5901.8320000000003</v>
      </c>
      <c r="H90" s="38">
        <f t="shared" si="13"/>
        <v>6564.7120000000004</v>
      </c>
      <c r="I90" s="38">
        <f t="shared" si="13"/>
        <v>5344.9960000000001</v>
      </c>
      <c r="J90" s="38">
        <f t="shared" si="13"/>
        <v>7208.5240000000003</v>
      </c>
      <c r="K90" s="38">
        <f t="shared" si="13"/>
        <v>9197.5849999999991</v>
      </c>
      <c r="L90" s="38">
        <f t="shared" si="13"/>
        <v>7211.1989999999996</v>
      </c>
      <c r="M90" s="38">
        <f t="shared" si="13"/>
        <v>7022.2710000000006</v>
      </c>
      <c r="N90" s="38">
        <f t="shared" si="13"/>
        <v>6304.5059999999994</v>
      </c>
      <c r="O90" s="39">
        <f t="shared" si="14"/>
        <v>83225.422999999981</v>
      </c>
      <c r="R90" s="27">
        <v>10242</v>
      </c>
      <c r="S90" s="27" t="s">
        <v>79</v>
      </c>
      <c r="T90" s="28">
        <v>1.3488E-3</v>
      </c>
      <c r="U90" s="28">
        <v>1.3488E-3</v>
      </c>
      <c r="V90" s="28">
        <v>1.3488E-3</v>
      </c>
      <c r="W90" s="28">
        <v>1.3488E-3</v>
      </c>
      <c r="X90" s="28">
        <v>0</v>
      </c>
      <c r="Y90" s="28">
        <v>0</v>
      </c>
      <c r="Z90" s="29">
        <v>9.4749999999999996</v>
      </c>
      <c r="AA90" s="29">
        <v>9.4749999999999996</v>
      </c>
      <c r="AB90" s="29">
        <v>9.4749999999999996</v>
      </c>
      <c r="AC90" s="30">
        <v>7.3270000000000002E-2</v>
      </c>
    </row>
    <row r="91" spans="1:29" x14ac:dyDescent="0.3">
      <c r="A91" s="27">
        <f t="shared" si="11"/>
        <v>10244</v>
      </c>
      <c r="B91" s="27" t="str">
        <f t="shared" si="12"/>
        <v>Lower Valley Energy</v>
      </c>
      <c r="C91" s="38">
        <f t="shared" si="13"/>
        <v>56254.159999999996</v>
      </c>
      <c r="D91" s="38">
        <f t="shared" si="13"/>
        <v>71460.332999999999</v>
      </c>
      <c r="E91" s="38">
        <f t="shared" si="13"/>
        <v>70597.351999999999</v>
      </c>
      <c r="F91" s="38">
        <f t="shared" si="13"/>
        <v>58847.192999999999</v>
      </c>
      <c r="G91" s="38">
        <f t="shared" si="13"/>
        <v>53309.451999999997</v>
      </c>
      <c r="H91" s="38">
        <f t="shared" si="13"/>
        <v>59297.046000000002</v>
      </c>
      <c r="I91" s="38">
        <f t="shared" si="13"/>
        <v>48279.718999999997</v>
      </c>
      <c r="J91" s="38">
        <f t="shared" si="13"/>
        <v>65112.400999999998</v>
      </c>
      <c r="K91" s="38">
        <f t="shared" si="13"/>
        <v>83078.994999999995</v>
      </c>
      <c r="L91" s="38">
        <f t="shared" si="13"/>
        <v>65136.565999999999</v>
      </c>
      <c r="M91" s="38">
        <f t="shared" si="13"/>
        <v>63430.044999999998</v>
      </c>
      <c r="N91" s="38">
        <f t="shared" si="13"/>
        <v>56946.687000000005</v>
      </c>
      <c r="O91" s="39">
        <f t="shared" si="14"/>
        <v>751749.94900000002</v>
      </c>
      <c r="R91" s="27">
        <v>10244</v>
      </c>
      <c r="S91" s="27" t="s">
        <v>80</v>
      </c>
      <c r="T91" s="28">
        <v>1.2183299999999999E-2</v>
      </c>
      <c r="U91" s="28">
        <v>1.2183299999999999E-2</v>
      </c>
      <c r="V91" s="28">
        <v>1.2183299999999999E-2</v>
      </c>
      <c r="W91" s="28">
        <v>1.2183299999999999E-2</v>
      </c>
      <c r="X91" s="28">
        <v>0</v>
      </c>
      <c r="Y91" s="28">
        <v>0</v>
      </c>
      <c r="Z91" s="29">
        <v>85.581999999999994</v>
      </c>
      <c r="AA91" s="29">
        <v>85.581999999999994</v>
      </c>
      <c r="AB91" s="29">
        <v>85.581999999999994</v>
      </c>
      <c r="AC91" s="30">
        <v>6.2080000000000003E-2</v>
      </c>
    </row>
    <row r="92" spans="1:29" x14ac:dyDescent="0.3">
      <c r="A92" s="27">
        <f t="shared" si="11"/>
        <v>10246</v>
      </c>
      <c r="B92" s="27" t="str">
        <f t="shared" si="12"/>
        <v>Mason County PUD #1</v>
      </c>
      <c r="C92" s="38">
        <f t="shared" si="13"/>
        <v>5774.4170000000004</v>
      </c>
      <c r="D92" s="38">
        <f t="shared" si="13"/>
        <v>7335.3109999999997</v>
      </c>
      <c r="E92" s="38">
        <f t="shared" si="13"/>
        <v>7246.726999999999</v>
      </c>
      <c r="F92" s="38">
        <f t="shared" si="13"/>
        <v>6040.5879999999997</v>
      </c>
      <c r="G92" s="38">
        <f t="shared" si="13"/>
        <v>5472.1469999999999</v>
      </c>
      <c r="H92" s="38">
        <f t="shared" si="13"/>
        <v>6086.7650000000003</v>
      </c>
      <c r="I92" s="38">
        <f t="shared" si="13"/>
        <v>4955.8509999999997</v>
      </c>
      <c r="J92" s="38">
        <f t="shared" si="13"/>
        <v>6683.7039999999997</v>
      </c>
      <c r="K92" s="38">
        <f t="shared" si="13"/>
        <v>8527.9520000000011</v>
      </c>
      <c r="L92" s="38">
        <f t="shared" si="13"/>
        <v>6686.1850000000004</v>
      </c>
      <c r="M92" s="38">
        <f t="shared" si="13"/>
        <v>6511.0120000000006</v>
      </c>
      <c r="N92" s="38">
        <f t="shared" si="13"/>
        <v>5845.5039999999999</v>
      </c>
      <c r="O92" s="39">
        <f t="shared" si="14"/>
        <v>77166.163</v>
      </c>
      <c r="R92" s="27">
        <v>10246</v>
      </c>
      <c r="S92" s="27" t="s">
        <v>81</v>
      </c>
      <c r="T92" s="28">
        <v>1.2505999999999999E-3</v>
      </c>
      <c r="U92" s="28">
        <v>1.2599E-3</v>
      </c>
      <c r="V92" s="28">
        <v>1.2505999999999999E-3</v>
      </c>
      <c r="W92" s="28">
        <v>1.2599E-3</v>
      </c>
      <c r="X92" s="28">
        <v>0</v>
      </c>
      <c r="Y92" s="28">
        <v>0</v>
      </c>
      <c r="Z92" s="29">
        <v>8.9390000000000001</v>
      </c>
      <c r="AA92" s="29">
        <v>8.7850000000000001</v>
      </c>
      <c r="AB92" s="29">
        <v>8.85</v>
      </c>
      <c r="AC92" s="30">
        <v>5.5E-2</v>
      </c>
    </row>
    <row r="93" spans="1:29" x14ac:dyDescent="0.3">
      <c r="A93" s="27">
        <f t="shared" si="11"/>
        <v>10247</v>
      </c>
      <c r="B93" s="27" t="str">
        <f t="shared" si="12"/>
        <v>Mason County PUD #3</v>
      </c>
      <c r="C93" s="38">
        <f t="shared" si="13"/>
        <v>52074.565000000002</v>
      </c>
      <c r="D93" s="38">
        <f t="shared" si="13"/>
        <v>66150.942999999999</v>
      </c>
      <c r="E93" s="38">
        <f t="shared" si="13"/>
        <v>65352.08</v>
      </c>
      <c r="F93" s="38">
        <f t="shared" si="13"/>
        <v>54474.938999999998</v>
      </c>
      <c r="G93" s="38">
        <f t="shared" si="13"/>
        <v>49348.642999999996</v>
      </c>
      <c r="H93" s="38">
        <f t="shared" si="13"/>
        <v>54891.37</v>
      </c>
      <c r="I93" s="38">
        <f t="shared" si="13"/>
        <v>44692.612000000001</v>
      </c>
      <c r="J93" s="38">
        <f t="shared" si="13"/>
        <v>60274.652000000002</v>
      </c>
      <c r="K93" s="38">
        <f t="shared" si="13"/>
        <v>76906.356</v>
      </c>
      <c r="L93" s="38">
        <f t="shared" si="13"/>
        <v>60297.021999999997</v>
      </c>
      <c r="M93" s="38">
        <f t="shared" si="13"/>
        <v>58717.292999999998</v>
      </c>
      <c r="N93" s="38">
        <f t="shared" si="13"/>
        <v>52715.637999999999</v>
      </c>
      <c r="O93" s="39">
        <f t="shared" si="14"/>
        <v>695896.11300000001</v>
      </c>
      <c r="R93" s="27">
        <v>10247</v>
      </c>
      <c r="S93" s="27" t="s">
        <v>82</v>
      </c>
      <c r="T93" s="28">
        <v>1.1278099999999999E-2</v>
      </c>
      <c r="U93" s="28">
        <v>1.1266E-2</v>
      </c>
      <c r="V93" s="28">
        <v>1.1278099999999999E-2</v>
      </c>
      <c r="W93" s="28">
        <v>1.1266E-2</v>
      </c>
      <c r="X93" s="28">
        <v>0</v>
      </c>
      <c r="Y93" s="28">
        <v>0</v>
      </c>
      <c r="Z93" s="29">
        <v>79.504999999999995</v>
      </c>
      <c r="AA93" s="29">
        <v>79.222999999999999</v>
      </c>
      <c r="AB93" s="29">
        <v>79.138000000000005</v>
      </c>
      <c r="AC93" s="30">
        <v>0.05</v>
      </c>
    </row>
    <row r="94" spans="1:29" x14ac:dyDescent="0.3">
      <c r="A94" s="27">
        <f t="shared" si="11"/>
        <v>10256</v>
      </c>
      <c r="B94" s="27" t="str">
        <f t="shared" si="12"/>
        <v>Midstate Elec Coop</v>
      </c>
      <c r="C94" s="38">
        <f t="shared" si="13"/>
        <v>30452.591999999997</v>
      </c>
      <c r="D94" s="38">
        <f t="shared" si="13"/>
        <v>38684.292000000001</v>
      </c>
      <c r="E94" s="38">
        <f t="shared" si="13"/>
        <v>38217.126000000004</v>
      </c>
      <c r="F94" s="38">
        <f t="shared" si="13"/>
        <v>31856.303</v>
      </c>
      <c r="G94" s="38">
        <f t="shared" si="13"/>
        <v>28858.505000000001</v>
      </c>
      <c r="H94" s="38">
        <f t="shared" si="13"/>
        <v>32099.826000000001</v>
      </c>
      <c r="I94" s="38">
        <f t="shared" si="13"/>
        <v>26135.712</v>
      </c>
      <c r="J94" s="38">
        <f t="shared" si="13"/>
        <v>35247.906000000003</v>
      </c>
      <c r="K94" s="38">
        <f t="shared" si="13"/>
        <v>44973.930999999997</v>
      </c>
      <c r="L94" s="38">
        <f t="shared" si="13"/>
        <v>35260.987999999998</v>
      </c>
      <c r="M94" s="38">
        <f t="shared" si="13"/>
        <v>34337.180999999997</v>
      </c>
      <c r="N94" s="38">
        <f t="shared" si="13"/>
        <v>30827.484000000004</v>
      </c>
      <c r="O94" s="39">
        <f t="shared" si="14"/>
        <v>406951.84599999996</v>
      </c>
      <c r="R94" s="27">
        <v>10256</v>
      </c>
      <c r="S94" s="27" t="s">
        <v>83</v>
      </c>
      <c r="T94" s="28">
        <v>6.5953000000000001E-3</v>
      </c>
      <c r="U94" s="28">
        <v>6.6194000000000001E-3</v>
      </c>
      <c r="V94" s="28">
        <v>6.5953000000000001E-3</v>
      </c>
      <c r="W94" s="28">
        <v>6.6194000000000001E-3</v>
      </c>
      <c r="X94" s="28">
        <v>0</v>
      </c>
      <c r="Y94" s="28">
        <v>0</v>
      </c>
      <c r="Z94" s="29">
        <v>46.497999999999998</v>
      </c>
      <c r="AA94" s="29">
        <v>46.329000000000001</v>
      </c>
      <c r="AB94" s="29">
        <v>46.497999999999998</v>
      </c>
      <c r="AC94" s="30">
        <v>0.06</v>
      </c>
    </row>
    <row r="95" spans="1:29" x14ac:dyDescent="0.3">
      <c r="A95" s="27">
        <f t="shared" si="11"/>
        <v>10258</v>
      </c>
      <c r="B95" s="27" t="str">
        <f t="shared" si="12"/>
        <v>Mission Valley</v>
      </c>
      <c r="C95" s="38">
        <f t="shared" si="13"/>
        <v>24814.385999999999</v>
      </c>
      <c r="D95" s="38">
        <f t="shared" si="13"/>
        <v>31522.011999999999</v>
      </c>
      <c r="E95" s="38">
        <f t="shared" si="13"/>
        <v>31141.341</v>
      </c>
      <c r="F95" s="38">
        <f t="shared" si="13"/>
        <v>25958.203999999998</v>
      </c>
      <c r="G95" s="38">
        <f t="shared" si="13"/>
        <v>23515.440000000002</v>
      </c>
      <c r="H95" s="38">
        <f t="shared" ref="D95:N110" si="15">ROUND(H$3*$V95, 3)+ROUND(H$4*$V95,3)</f>
        <v>26156.639000000003</v>
      </c>
      <c r="I95" s="38">
        <f t="shared" si="15"/>
        <v>21296.763999999999</v>
      </c>
      <c r="J95" s="38">
        <f t="shared" si="15"/>
        <v>28721.862000000001</v>
      </c>
      <c r="K95" s="38">
        <f t="shared" si="15"/>
        <v>36647.142999999996</v>
      </c>
      <c r="L95" s="38">
        <f t="shared" si="15"/>
        <v>28732.521000000001</v>
      </c>
      <c r="M95" s="38">
        <f t="shared" si="15"/>
        <v>27979.754999999997</v>
      </c>
      <c r="N95" s="38">
        <f t="shared" si="15"/>
        <v>25119.868000000002</v>
      </c>
      <c r="O95" s="39">
        <f t="shared" si="14"/>
        <v>331605.935</v>
      </c>
      <c r="R95" s="27">
        <v>10258</v>
      </c>
      <c r="S95" s="27" t="s">
        <v>84</v>
      </c>
      <c r="T95" s="28">
        <v>5.3742E-3</v>
      </c>
      <c r="U95" s="28">
        <v>5.3742E-3</v>
      </c>
      <c r="V95" s="28">
        <v>5.3742E-3</v>
      </c>
      <c r="W95" s="28">
        <v>5.3742E-3</v>
      </c>
      <c r="X95" s="28">
        <v>0</v>
      </c>
      <c r="Y95" s="28">
        <v>0</v>
      </c>
      <c r="Z95" s="29">
        <v>37.750999999999998</v>
      </c>
      <c r="AA95" s="29">
        <v>37.750999999999998</v>
      </c>
      <c r="AB95" s="29">
        <v>37.750999999999998</v>
      </c>
      <c r="AC95" s="30">
        <v>5.5280000000000003E-2</v>
      </c>
    </row>
    <row r="96" spans="1:29" x14ac:dyDescent="0.3">
      <c r="A96" s="27">
        <f t="shared" si="11"/>
        <v>10259</v>
      </c>
      <c r="B96" s="27" t="str">
        <f t="shared" si="12"/>
        <v>Missoula Elec Coop</v>
      </c>
      <c r="C96" s="38">
        <f t="shared" si="13"/>
        <v>17644.154999999999</v>
      </c>
      <c r="D96" s="38">
        <f t="shared" si="15"/>
        <v>22413.580999999998</v>
      </c>
      <c r="E96" s="38">
        <f t="shared" si="15"/>
        <v>22142.904999999999</v>
      </c>
      <c r="F96" s="38">
        <f t="shared" si="15"/>
        <v>18457.46</v>
      </c>
      <c r="G96" s="38">
        <f t="shared" si="15"/>
        <v>16720.544999999998</v>
      </c>
      <c r="H96" s="38">
        <f t="shared" si="15"/>
        <v>18598.557000000001</v>
      </c>
      <c r="I96" s="38">
        <f t="shared" si="15"/>
        <v>15142.965</v>
      </c>
      <c r="J96" s="38">
        <f t="shared" si="15"/>
        <v>20422.546999999999</v>
      </c>
      <c r="K96" s="38">
        <f t="shared" si="15"/>
        <v>26057.781000000003</v>
      </c>
      <c r="L96" s="38">
        <f t="shared" si="15"/>
        <v>20430.126</v>
      </c>
      <c r="M96" s="38">
        <f t="shared" si="15"/>
        <v>19894.875</v>
      </c>
      <c r="N96" s="38">
        <f t="shared" si="15"/>
        <v>17861.364999999998</v>
      </c>
      <c r="O96" s="39">
        <f t="shared" si="14"/>
        <v>235786.86199999996</v>
      </c>
      <c r="R96" s="27">
        <v>10259</v>
      </c>
      <c r="S96" s="27" t="s">
        <v>85</v>
      </c>
      <c r="T96" s="28">
        <v>3.8213000000000001E-3</v>
      </c>
      <c r="U96" s="28">
        <v>3.8213000000000001E-3</v>
      </c>
      <c r="V96" s="28">
        <v>3.8213000000000001E-3</v>
      </c>
      <c r="W96" s="28">
        <v>3.8213000000000001E-3</v>
      </c>
      <c r="X96" s="28">
        <v>0</v>
      </c>
      <c r="Y96" s="28">
        <v>0</v>
      </c>
      <c r="Z96" s="29">
        <v>26.843</v>
      </c>
      <c r="AA96" s="29">
        <v>26.843</v>
      </c>
      <c r="AB96" s="29">
        <v>26.843</v>
      </c>
      <c r="AC96" s="30">
        <v>6.5259999999999999E-2</v>
      </c>
    </row>
    <row r="97" spans="1:29" x14ac:dyDescent="0.3">
      <c r="A97" s="27">
        <f t="shared" si="11"/>
        <v>10260</v>
      </c>
      <c r="B97" s="27" t="str">
        <f t="shared" si="12"/>
        <v>Modern Elec Coop</v>
      </c>
      <c r="C97" s="38">
        <f t="shared" si="13"/>
        <v>17186.115999999998</v>
      </c>
      <c r="D97" s="38">
        <f t="shared" si="15"/>
        <v>21831.728999999999</v>
      </c>
      <c r="E97" s="38">
        <f t="shared" si="15"/>
        <v>21568.082000000002</v>
      </c>
      <c r="F97" s="38">
        <f t="shared" si="15"/>
        <v>17978.310000000001</v>
      </c>
      <c r="G97" s="38">
        <f t="shared" si="15"/>
        <v>16286.484</v>
      </c>
      <c r="H97" s="38">
        <f t="shared" si="15"/>
        <v>18115.743999999999</v>
      </c>
      <c r="I97" s="38">
        <f t="shared" si="15"/>
        <v>14749.858</v>
      </c>
      <c r="J97" s="38">
        <f t="shared" si="15"/>
        <v>19892.382999999998</v>
      </c>
      <c r="K97" s="38">
        <f t="shared" si="15"/>
        <v>25381.327000000001</v>
      </c>
      <c r="L97" s="38">
        <f t="shared" si="15"/>
        <v>19899.766</v>
      </c>
      <c r="M97" s="38">
        <f t="shared" si="15"/>
        <v>19378.409</v>
      </c>
      <c r="N97" s="38">
        <f t="shared" si="15"/>
        <v>17397.688999999998</v>
      </c>
      <c r="O97" s="39">
        <f t="shared" si="14"/>
        <v>229665.897</v>
      </c>
      <c r="R97" s="27">
        <v>10260</v>
      </c>
      <c r="S97" s="27" t="s">
        <v>86</v>
      </c>
      <c r="T97" s="28">
        <v>3.7220999999999999E-3</v>
      </c>
      <c r="U97" s="28">
        <v>3.7220999999999999E-3</v>
      </c>
      <c r="V97" s="28">
        <v>3.7220999999999999E-3</v>
      </c>
      <c r="W97" s="28">
        <v>3.7220999999999999E-3</v>
      </c>
      <c r="X97" s="28">
        <v>0</v>
      </c>
      <c r="Y97" s="28">
        <v>0</v>
      </c>
      <c r="Z97" s="29">
        <v>26.146000000000001</v>
      </c>
      <c r="AA97" s="29">
        <v>26.146000000000001</v>
      </c>
      <c r="AB97" s="29">
        <v>26.146000000000001</v>
      </c>
      <c r="AC97" s="30">
        <v>0</v>
      </c>
    </row>
    <row r="98" spans="1:29" x14ac:dyDescent="0.3">
      <c r="A98" s="27">
        <f t="shared" si="11"/>
        <v>10273</v>
      </c>
      <c r="B98" s="27" t="str">
        <f t="shared" si="12"/>
        <v>Nespelem Valley Elec Coop</v>
      </c>
      <c r="C98" s="38">
        <f t="shared" si="13"/>
        <v>3845.3019999999997</v>
      </c>
      <c r="D98" s="38">
        <f t="shared" si="15"/>
        <v>4884.7330000000002</v>
      </c>
      <c r="E98" s="38">
        <f t="shared" si="15"/>
        <v>4825.7430000000004</v>
      </c>
      <c r="F98" s="38">
        <f t="shared" si="15"/>
        <v>4022.5510000000004</v>
      </c>
      <c r="G98" s="38">
        <f t="shared" si="15"/>
        <v>3644.0129999999999</v>
      </c>
      <c r="H98" s="38">
        <f t="shared" si="15"/>
        <v>4053.3009999999999</v>
      </c>
      <c r="I98" s="38">
        <f t="shared" si="15"/>
        <v>3300.2020000000002</v>
      </c>
      <c r="J98" s="38">
        <f t="shared" si="15"/>
        <v>4450.8140000000003</v>
      </c>
      <c r="K98" s="38">
        <f t="shared" si="15"/>
        <v>5678.9369999999999</v>
      </c>
      <c r="L98" s="38">
        <f t="shared" si="15"/>
        <v>4452.4660000000003</v>
      </c>
      <c r="M98" s="38">
        <f t="shared" si="15"/>
        <v>4335.8160000000007</v>
      </c>
      <c r="N98" s="38">
        <f t="shared" si="15"/>
        <v>3892.64</v>
      </c>
      <c r="O98" s="39">
        <f t="shared" si="14"/>
        <v>51386.517999999996</v>
      </c>
      <c r="R98" s="27">
        <v>10273</v>
      </c>
      <c r="S98" s="27" t="s">
        <v>87</v>
      </c>
      <c r="T98" s="28">
        <v>8.3279999999999997E-4</v>
      </c>
      <c r="U98" s="28">
        <v>8.3279999999999997E-4</v>
      </c>
      <c r="V98" s="28">
        <v>8.3279999999999997E-4</v>
      </c>
      <c r="W98" s="28">
        <v>8.3279999999999997E-4</v>
      </c>
      <c r="X98" s="28">
        <v>0</v>
      </c>
      <c r="Y98" s="28">
        <v>0</v>
      </c>
      <c r="Z98" s="29">
        <v>5.85</v>
      </c>
      <c r="AA98" s="29">
        <v>5.85</v>
      </c>
      <c r="AB98" s="29">
        <v>5.85</v>
      </c>
      <c r="AC98" s="30">
        <v>9.6479999999999996E-2</v>
      </c>
    </row>
    <row r="99" spans="1:29" x14ac:dyDescent="0.3">
      <c r="A99" s="27">
        <f t="shared" si="11"/>
        <v>10278</v>
      </c>
      <c r="B99" s="27" t="str">
        <f t="shared" si="12"/>
        <v>Northern Lights</v>
      </c>
      <c r="C99" s="38">
        <f t="shared" si="13"/>
        <v>23434.731</v>
      </c>
      <c r="D99" s="38">
        <f t="shared" si="15"/>
        <v>29769.42</v>
      </c>
      <c r="E99" s="38">
        <f t="shared" si="15"/>
        <v>29409.914000000001</v>
      </c>
      <c r="F99" s="38">
        <f t="shared" si="15"/>
        <v>24514.953999999998</v>
      </c>
      <c r="G99" s="38">
        <f t="shared" si="15"/>
        <v>22208.006000000001</v>
      </c>
      <c r="H99" s="38">
        <f t="shared" si="15"/>
        <v>24702.357</v>
      </c>
      <c r="I99" s="38">
        <f t="shared" si="15"/>
        <v>20112.686000000002</v>
      </c>
      <c r="J99" s="38">
        <f t="shared" si="15"/>
        <v>27124.955999999998</v>
      </c>
      <c r="K99" s="38">
        <f t="shared" si="15"/>
        <v>34609.599000000002</v>
      </c>
      <c r="L99" s="38">
        <f t="shared" si="15"/>
        <v>27135.023000000001</v>
      </c>
      <c r="M99" s="38">
        <f t="shared" si="15"/>
        <v>26424.109</v>
      </c>
      <c r="N99" s="38">
        <f t="shared" si="15"/>
        <v>23723.228999999999</v>
      </c>
      <c r="O99" s="39">
        <f t="shared" si="14"/>
        <v>313168.98399999994</v>
      </c>
      <c r="R99" s="27">
        <v>10278</v>
      </c>
      <c r="S99" s="27" t="s">
        <v>88</v>
      </c>
      <c r="T99" s="28">
        <v>5.0753999999999999E-3</v>
      </c>
      <c r="U99" s="28">
        <v>5.0876000000000003E-3</v>
      </c>
      <c r="V99" s="28">
        <v>5.0753999999999999E-3</v>
      </c>
      <c r="W99" s="28">
        <v>5.0876000000000003E-3</v>
      </c>
      <c r="X99" s="28">
        <v>0</v>
      </c>
      <c r="Y99" s="28">
        <v>0</v>
      </c>
      <c r="Z99" s="29">
        <v>35.738</v>
      </c>
      <c r="AA99" s="29">
        <v>35.652000000000001</v>
      </c>
      <c r="AB99" s="29">
        <v>35.738</v>
      </c>
      <c r="AC99" s="30">
        <v>6.5000000000000002E-2</v>
      </c>
    </row>
    <row r="100" spans="1:29" x14ac:dyDescent="0.3">
      <c r="A100" s="27">
        <f t="shared" si="11"/>
        <v>10279</v>
      </c>
      <c r="B100" s="27" t="str">
        <f t="shared" si="12"/>
        <v>Northern Wasco County PUD</v>
      </c>
      <c r="C100" s="38">
        <f t="shared" si="13"/>
        <v>42345.415999999997</v>
      </c>
      <c r="D100" s="38">
        <f t="shared" si="15"/>
        <v>53791.888999999996</v>
      </c>
      <c r="E100" s="38">
        <f t="shared" si="15"/>
        <v>53142.278000000006</v>
      </c>
      <c r="F100" s="38">
        <f t="shared" si="15"/>
        <v>44297.324999999997</v>
      </c>
      <c r="G100" s="38">
        <f t="shared" si="15"/>
        <v>40128.781000000003</v>
      </c>
      <c r="H100" s="38">
        <f t="shared" si="15"/>
        <v>44635.953999999998</v>
      </c>
      <c r="I100" s="38">
        <f t="shared" si="15"/>
        <v>36342.642</v>
      </c>
      <c r="J100" s="38">
        <f t="shared" si="15"/>
        <v>49013.471000000005</v>
      </c>
      <c r="K100" s="38">
        <f t="shared" si="15"/>
        <v>62537.856</v>
      </c>
      <c r="L100" s="38">
        <f t="shared" si="15"/>
        <v>49031.661999999997</v>
      </c>
      <c r="M100" s="38">
        <f t="shared" si="15"/>
        <v>47747.074999999997</v>
      </c>
      <c r="N100" s="38">
        <f t="shared" si="15"/>
        <v>42866.716</v>
      </c>
      <c r="O100" s="39">
        <f t="shared" si="14"/>
        <v>565881.06500000006</v>
      </c>
      <c r="R100" s="27">
        <v>10279</v>
      </c>
      <c r="S100" s="27" t="s">
        <v>89</v>
      </c>
      <c r="T100" s="28">
        <v>9.1710000000000003E-3</v>
      </c>
      <c r="U100" s="28">
        <v>9.1710000000000003E-3</v>
      </c>
      <c r="V100" s="28">
        <v>9.1710000000000003E-3</v>
      </c>
      <c r="W100" s="28">
        <v>9.1710000000000003E-3</v>
      </c>
      <c r="X100" s="28">
        <v>0</v>
      </c>
      <c r="Y100" s="28">
        <v>0</v>
      </c>
      <c r="Z100" s="29">
        <v>64.421999999999997</v>
      </c>
      <c r="AA100" s="29">
        <v>64.421999999999997</v>
      </c>
      <c r="AB100" s="29">
        <v>64.421999999999997</v>
      </c>
      <c r="AC100" s="30">
        <v>0</v>
      </c>
    </row>
    <row r="101" spans="1:29" x14ac:dyDescent="0.3">
      <c r="A101" s="27">
        <f t="shared" si="11"/>
        <v>10284</v>
      </c>
      <c r="B101" s="27" t="str">
        <f t="shared" si="12"/>
        <v>Ohop Mutual Light Company</v>
      </c>
      <c r="C101" s="38">
        <f t="shared" si="13"/>
        <v>6458.7039999999997</v>
      </c>
      <c r="D101" s="38">
        <f t="shared" si="15"/>
        <v>8204.5679999999993</v>
      </c>
      <c r="E101" s="38">
        <f t="shared" si="15"/>
        <v>8105.4869999999992</v>
      </c>
      <c r="F101" s="38">
        <f t="shared" si="15"/>
        <v>6756.4169999999995</v>
      </c>
      <c r="G101" s="38">
        <f t="shared" si="15"/>
        <v>6120.6130000000003</v>
      </c>
      <c r="H101" s="38">
        <f t="shared" si="15"/>
        <v>6808.0659999999998</v>
      </c>
      <c r="I101" s="38">
        <f t="shared" si="15"/>
        <v>5543.134</v>
      </c>
      <c r="J101" s="38">
        <f t="shared" si="15"/>
        <v>7475.7430000000004</v>
      </c>
      <c r="K101" s="38">
        <f t="shared" si="15"/>
        <v>9538.5400000000009</v>
      </c>
      <c r="L101" s="38">
        <f t="shared" si="15"/>
        <v>7478.518</v>
      </c>
      <c r="M101" s="38">
        <f t="shared" si="15"/>
        <v>7282.5880000000006</v>
      </c>
      <c r="N101" s="38">
        <f t="shared" si="15"/>
        <v>6538.2150000000001</v>
      </c>
      <c r="O101" s="39">
        <f t="shared" si="14"/>
        <v>86310.592999999993</v>
      </c>
      <c r="R101" s="27">
        <v>10284</v>
      </c>
      <c r="S101" s="27" t="s">
        <v>90</v>
      </c>
      <c r="T101" s="28">
        <v>1.3988E-3</v>
      </c>
      <c r="U101" s="28">
        <v>1.4002000000000001E-3</v>
      </c>
      <c r="V101" s="28">
        <v>1.3988E-3</v>
      </c>
      <c r="W101" s="28">
        <v>1.4002000000000001E-3</v>
      </c>
      <c r="X101" s="28">
        <v>0</v>
      </c>
      <c r="Y101" s="28">
        <v>0</v>
      </c>
      <c r="Z101" s="29">
        <v>10.105</v>
      </c>
      <c r="AA101" s="29">
        <v>9.8260000000000005</v>
      </c>
      <c r="AB101" s="29">
        <v>9.8360000000000003</v>
      </c>
      <c r="AC101" s="30">
        <v>0.05</v>
      </c>
    </row>
    <row r="102" spans="1:29" x14ac:dyDescent="0.3">
      <c r="A102" s="27">
        <f t="shared" si="11"/>
        <v>10285</v>
      </c>
      <c r="B102" s="27" t="str">
        <f t="shared" si="12"/>
        <v>Okanogan County Elec Coop</v>
      </c>
      <c r="C102" s="38">
        <f t="shared" si="13"/>
        <v>4268.71</v>
      </c>
      <c r="D102" s="38">
        <f t="shared" si="15"/>
        <v>5422.5929999999998</v>
      </c>
      <c r="E102" s="38">
        <f t="shared" si="15"/>
        <v>5357.1080000000002</v>
      </c>
      <c r="F102" s="38">
        <f t="shared" si="15"/>
        <v>4465.4749999999995</v>
      </c>
      <c r="G102" s="38">
        <f t="shared" si="15"/>
        <v>4045.2579999999998</v>
      </c>
      <c r="H102" s="38">
        <f t="shared" si="15"/>
        <v>4499.6120000000001</v>
      </c>
      <c r="I102" s="38">
        <f t="shared" si="15"/>
        <v>3663.5889999999999</v>
      </c>
      <c r="J102" s="38">
        <f t="shared" si="15"/>
        <v>4940.8959999999997</v>
      </c>
      <c r="K102" s="38">
        <f t="shared" si="15"/>
        <v>6304.2469999999994</v>
      </c>
      <c r="L102" s="38">
        <f t="shared" si="15"/>
        <v>4942.7299999999996</v>
      </c>
      <c r="M102" s="38">
        <f t="shared" si="15"/>
        <v>4813.2349999999997</v>
      </c>
      <c r="N102" s="38">
        <f t="shared" si="15"/>
        <v>4321.26</v>
      </c>
      <c r="O102" s="39">
        <f t="shared" si="14"/>
        <v>57044.712999999996</v>
      </c>
      <c r="R102" s="27">
        <v>10285</v>
      </c>
      <c r="S102" s="27" t="s">
        <v>91</v>
      </c>
      <c r="T102" s="28">
        <v>9.2449999999999997E-4</v>
      </c>
      <c r="U102" s="28">
        <v>9.2449999999999997E-4</v>
      </c>
      <c r="V102" s="28">
        <v>9.2449999999999997E-4</v>
      </c>
      <c r="W102" s="28">
        <v>9.2449999999999997E-4</v>
      </c>
      <c r="X102" s="28">
        <v>0</v>
      </c>
      <c r="Y102" s="28">
        <v>0</v>
      </c>
      <c r="Z102" s="29">
        <v>6.4939999999999998</v>
      </c>
      <c r="AA102" s="29">
        <v>6.4939999999999998</v>
      </c>
      <c r="AB102" s="29">
        <v>6.4939999999999998</v>
      </c>
      <c r="AC102" s="30">
        <v>6.9669999999999996E-2</v>
      </c>
    </row>
    <row r="103" spans="1:29" x14ac:dyDescent="0.3">
      <c r="A103" s="27">
        <f t="shared" si="11"/>
        <v>10286</v>
      </c>
      <c r="B103" s="27" t="str">
        <f t="shared" si="12"/>
        <v>Okanogan County PUD #1</v>
      </c>
      <c r="C103" s="38">
        <f t="shared" si="13"/>
        <v>30018.102999999999</v>
      </c>
      <c r="D103" s="38">
        <f t="shared" si="15"/>
        <v>38132.354999999996</v>
      </c>
      <c r="E103" s="38">
        <f t="shared" si="15"/>
        <v>37671.854999999996</v>
      </c>
      <c r="F103" s="38">
        <f t="shared" si="15"/>
        <v>31401.785000000003</v>
      </c>
      <c r="G103" s="38">
        <f t="shared" si="15"/>
        <v>28446.760000000002</v>
      </c>
      <c r="H103" s="38">
        <f t="shared" si="15"/>
        <v>31641.834000000003</v>
      </c>
      <c r="I103" s="38">
        <f t="shared" si="15"/>
        <v>25762.815000000002</v>
      </c>
      <c r="J103" s="38">
        <f t="shared" si="15"/>
        <v>34744.998</v>
      </c>
      <c r="K103" s="38">
        <f t="shared" si="15"/>
        <v>44332.254000000001</v>
      </c>
      <c r="L103" s="38">
        <f t="shared" si="15"/>
        <v>34757.893000000004</v>
      </c>
      <c r="M103" s="38">
        <f t="shared" si="15"/>
        <v>33847.267</v>
      </c>
      <c r="N103" s="38">
        <f t="shared" si="15"/>
        <v>30387.645000000004</v>
      </c>
      <c r="O103" s="39">
        <f t="shared" si="14"/>
        <v>401145.56400000001</v>
      </c>
      <c r="R103" s="27">
        <v>10286</v>
      </c>
      <c r="S103" s="27" t="s">
        <v>92</v>
      </c>
      <c r="T103" s="28">
        <v>6.5012000000000004E-3</v>
      </c>
      <c r="U103" s="28">
        <v>6.5012000000000004E-3</v>
      </c>
      <c r="V103" s="28">
        <v>6.5012000000000004E-3</v>
      </c>
      <c r="W103" s="28">
        <v>6.5012000000000004E-3</v>
      </c>
      <c r="X103" s="28">
        <v>0</v>
      </c>
      <c r="Y103" s="28">
        <v>0</v>
      </c>
      <c r="Z103" s="29">
        <v>45.667999999999999</v>
      </c>
      <c r="AA103" s="29">
        <v>45.667999999999999</v>
      </c>
      <c r="AB103" s="29">
        <v>45.667999999999999</v>
      </c>
      <c r="AC103" s="30">
        <v>0</v>
      </c>
    </row>
    <row r="104" spans="1:29" x14ac:dyDescent="0.3">
      <c r="A104" s="27">
        <f t="shared" si="11"/>
        <v>10288</v>
      </c>
      <c r="B104" s="27" t="str">
        <f t="shared" si="12"/>
        <v>Orcas P &amp; L</v>
      </c>
      <c r="C104" s="38">
        <f t="shared" si="13"/>
        <v>15913.121999999999</v>
      </c>
      <c r="D104" s="38">
        <f t="shared" si="15"/>
        <v>20214.629000000001</v>
      </c>
      <c r="E104" s="38">
        <f t="shared" si="15"/>
        <v>19970.509999999998</v>
      </c>
      <c r="F104" s="38">
        <f t="shared" si="15"/>
        <v>16646.635999999999</v>
      </c>
      <c r="G104" s="38">
        <f t="shared" si="15"/>
        <v>15080.126</v>
      </c>
      <c r="H104" s="38">
        <f t="shared" si="15"/>
        <v>16773.89</v>
      </c>
      <c r="I104" s="38">
        <f t="shared" si="15"/>
        <v>13657.319</v>
      </c>
      <c r="J104" s="38">
        <f t="shared" si="15"/>
        <v>18418.932000000001</v>
      </c>
      <c r="K104" s="38">
        <f t="shared" si="15"/>
        <v>23501.305</v>
      </c>
      <c r="L104" s="38">
        <f t="shared" si="15"/>
        <v>18425.769</v>
      </c>
      <c r="M104" s="38">
        <f t="shared" si="15"/>
        <v>17943.03</v>
      </c>
      <c r="N104" s="38">
        <f t="shared" si="15"/>
        <v>16109.023000000001</v>
      </c>
      <c r="O104" s="39">
        <f t="shared" si="14"/>
        <v>212654.29099999997</v>
      </c>
      <c r="R104" s="27">
        <v>10288</v>
      </c>
      <c r="S104" s="27" t="s">
        <v>93</v>
      </c>
      <c r="T104" s="28">
        <v>3.4464000000000001E-3</v>
      </c>
      <c r="U104" s="28">
        <v>3.4551999999999999E-3</v>
      </c>
      <c r="V104" s="28">
        <v>3.4464000000000001E-3</v>
      </c>
      <c r="W104" s="28">
        <v>3.4551999999999999E-3</v>
      </c>
      <c r="X104" s="28">
        <v>0</v>
      </c>
      <c r="Y104" s="28">
        <v>0</v>
      </c>
      <c r="Z104" s="29">
        <v>24.603000000000002</v>
      </c>
      <c r="AA104" s="29">
        <v>24.209</v>
      </c>
      <c r="AB104" s="29">
        <v>24.271000000000001</v>
      </c>
      <c r="AC104" s="30">
        <v>5.5E-2</v>
      </c>
    </row>
    <row r="105" spans="1:29" x14ac:dyDescent="0.3">
      <c r="A105" s="27">
        <f t="shared" si="11"/>
        <v>10291</v>
      </c>
      <c r="B105" s="27" t="str">
        <f t="shared" si="12"/>
        <v>Oregon Trail Coop</v>
      </c>
      <c r="C105" s="38">
        <f t="shared" si="13"/>
        <v>51772.131000000001</v>
      </c>
      <c r="D105" s="38">
        <f t="shared" si="15"/>
        <v>65766.756999999998</v>
      </c>
      <c r="E105" s="38">
        <f t="shared" si="15"/>
        <v>64972.534</v>
      </c>
      <c r="F105" s="38">
        <f t="shared" si="15"/>
        <v>54158.565000000002</v>
      </c>
      <c r="G105" s="38">
        <f t="shared" si="15"/>
        <v>49062.040999999997</v>
      </c>
      <c r="H105" s="38">
        <f t="shared" si="15"/>
        <v>54572.576000000001</v>
      </c>
      <c r="I105" s="38">
        <f t="shared" si="15"/>
        <v>44433.05</v>
      </c>
      <c r="J105" s="38">
        <f t="shared" si="15"/>
        <v>59924.593000000001</v>
      </c>
      <c r="K105" s="38">
        <f t="shared" si="15"/>
        <v>76459.706000000006</v>
      </c>
      <c r="L105" s="38">
        <f t="shared" si="15"/>
        <v>59946.834000000003</v>
      </c>
      <c r="M105" s="38">
        <f t="shared" si="15"/>
        <v>58376.28</v>
      </c>
      <c r="N105" s="38">
        <f t="shared" si="15"/>
        <v>52409.48</v>
      </c>
      <c r="O105" s="39">
        <f t="shared" si="14"/>
        <v>691854.54700000002</v>
      </c>
      <c r="R105" s="27">
        <v>10291</v>
      </c>
      <c r="S105" s="27" t="s">
        <v>94</v>
      </c>
      <c r="T105" s="28">
        <v>1.12126E-2</v>
      </c>
      <c r="U105" s="28">
        <v>1.11579E-2</v>
      </c>
      <c r="V105" s="28">
        <v>1.12126E-2</v>
      </c>
      <c r="W105" s="28">
        <v>1.11579E-2</v>
      </c>
      <c r="X105" s="28">
        <v>0</v>
      </c>
      <c r="Y105" s="28">
        <v>0</v>
      </c>
      <c r="Z105" s="29">
        <v>78.763000000000005</v>
      </c>
      <c r="AA105" s="29">
        <v>78.763000000000005</v>
      </c>
      <c r="AB105" s="29">
        <v>78.379000000000005</v>
      </c>
      <c r="AC105" s="30">
        <v>5.0220000000000001E-2</v>
      </c>
    </row>
    <row r="106" spans="1:29" x14ac:dyDescent="0.3">
      <c r="A106" s="27">
        <f t="shared" si="11"/>
        <v>10294</v>
      </c>
      <c r="B106" s="27" t="str">
        <f t="shared" si="12"/>
        <v>Pacific County PUD #2</v>
      </c>
      <c r="C106" s="38">
        <f t="shared" si="13"/>
        <v>10750.038</v>
      </c>
      <c r="D106" s="38">
        <f t="shared" si="15"/>
        <v>13655.902000000002</v>
      </c>
      <c r="E106" s="38">
        <f t="shared" si="15"/>
        <v>13490.987999999999</v>
      </c>
      <c r="F106" s="38">
        <f t="shared" si="15"/>
        <v>11245.560000000001</v>
      </c>
      <c r="G106" s="38">
        <f t="shared" si="15"/>
        <v>10187.311</v>
      </c>
      <c r="H106" s="38">
        <f t="shared" si="15"/>
        <v>11331.526</v>
      </c>
      <c r="I106" s="38">
        <f t="shared" si="15"/>
        <v>9226.1409999999996</v>
      </c>
      <c r="J106" s="38">
        <f t="shared" si="15"/>
        <v>12442.826000000001</v>
      </c>
      <c r="K106" s="38">
        <f t="shared" si="15"/>
        <v>15876.200999999999</v>
      </c>
      <c r="L106" s="38">
        <f t="shared" si="15"/>
        <v>12447.444</v>
      </c>
      <c r="M106" s="38">
        <f t="shared" si="15"/>
        <v>12121.332</v>
      </c>
      <c r="N106" s="38">
        <f t="shared" si="15"/>
        <v>10882.378000000001</v>
      </c>
      <c r="O106" s="39">
        <f t="shared" si="14"/>
        <v>143657.647</v>
      </c>
      <c r="R106" s="27">
        <v>10294</v>
      </c>
      <c r="S106" s="27" t="s">
        <v>95</v>
      </c>
      <c r="T106" s="28">
        <v>5.1441000000000004E-3</v>
      </c>
      <c r="U106" s="28">
        <v>4.9843999999999999E-3</v>
      </c>
      <c r="V106" s="28">
        <v>2.3282000000000003E-3</v>
      </c>
      <c r="W106" s="28">
        <v>2.1684999999999999E-3</v>
      </c>
      <c r="X106" s="28">
        <v>2.8159000000000001E-3</v>
      </c>
      <c r="Y106" s="28">
        <v>2.8159000000000001E-3</v>
      </c>
      <c r="Z106" s="29">
        <v>36.134999999999998</v>
      </c>
      <c r="AA106" s="29">
        <v>36.134999999999998</v>
      </c>
      <c r="AB106" s="29">
        <v>35.012999999999998</v>
      </c>
      <c r="AC106" s="30">
        <v>0</v>
      </c>
    </row>
    <row r="107" spans="1:29" x14ac:dyDescent="0.3">
      <c r="A107" s="27">
        <f t="shared" si="11"/>
        <v>10304</v>
      </c>
      <c r="B107" s="27" t="str">
        <f t="shared" si="12"/>
        <v>Parkland L &amp; W</v>
      </c>
      <c r="C107" s="38">
        <f t="shared" si="13"/>
        <v>8986.6839999999993</v>
      </c>
      <c r="D107" s="38">
        <f t="shared" si="15"/>
        <v>11415.892</v>
      </c>
      <c r="E107" s="38">
        <f t="shared" si="15"/>
        <v>11278.03</v>
      </c>
      <c r="F107" s="38">
        <f t="shared" si="15"/>
        <v>9400.9259999999995</v>
      </c>
      <c r="G107" s="38">
        <f t="shared" si="15"/>
        <v>8516.262999999999</v>
      </c>
      <c r="H107" s="38">
        <f t="shared" si="15"/>
        <v>9472.7900000000009</v>
      </c>
      <c r="I107" s="38">
        <f t="shared" si="15"/>
        <v>7712.7560000000003</v>
      </c>
      <c r="J107" s="38">
        <f t="shared" si="15"/>
        <v>10401.800999999999</v>
      </c>
      <c r="K107" s="38">
        <f t="shared" si="15"/>
        <v>13271.991</v>
      </c>
      <c r="L107" s="38">
        <f t="shared" si="15"/>
        <v>10405.662</v>
      </c>
      <c r="M107" s="38">
        <f t="shared" si="15"/>
        <v>10133.043</v>
      </c>
      <c r="N107" s="38">
        <f t="shared" si="15"/>
        <v>9097.3159999999989</v>
      </c>
      <c r="O107" s="39">
        <f t="shared" si="14"/>
        <v>120093.15399999998</v>
      </c>
      <c r="R107" s="27">
        <v>10304</v>
      </c>
      <c r="S107" s="27" t="s">
        <v>96</v>
      </c>
      <c r="T107" s="28">
        <v>1.9463E-3</v>
      </c>
      <c r="U107" s="28">
        <v>1.9514999999999999E-3</v>
      </c>
      <c r="V107" s="28">
        <v>1.9463E-3</v>
      </c>
      <c r="W107" s="28">
        <v>1.9514999999999999E-3</v>
      </c>
      <c r="X107" s="28">
        <v>0</v>
      </c>
      <c r="Y107" s="28">
        <v>0</v>
      </c>
      <c r="Z107" s="29">
        <v>13.994</v>
      </c>
      <c r="AA107" s="29">
        <v>13.672000000000001</v>
      </c>
      <c r="AB107" s="29">
        <v>13.708</v>
      </c>
      <c r="AC107" s="30">
        <v>0</v>
      </c>
    </row>
    <row r="108" spans="1:29" x14ac:dyDescent="0.3">
      <c r="A108" s="27">
        <f t="shared" si="11"/>
        <v>10306</v>
      </c>
      <c r="B108" s="27" t="str">
        <f t="shared" si="12"/>
        <v>Pend Oreille County PUD  #1</v>
      </c>
      <c r="C108" s="38">
        <f t="shared" si="13"/>
        <v>13950.761999999999</v>
      </c>
      <c r="D108" s="38">
        <f t="shared" si="15"/>
        <v>17721.82</v>
      </c>
      <c r="E108" s="38">
        <f t="shared" si="15"/>
        <v>17507.805</v>
      </c>
      <c r="F108" s="38">
        <f t="shared" si="15"/>
        <v>14593.821</v>
      </c>
      <c r="G108" s="38">
        <f t="shared" si="15"/>
        <v>13220.488000000001</v>
      </c>
      <c r="H108" s="38">
        <f t="shared" si="15"/>
        <v>14705.383</v>
      </c>
      <c r="I108" s="38">
        <f t="shared" si="15"/>
        <v>11973.138999999999</v>
      </c>
      <c r="J108" s="38">
        <f t="shared" si="15"/>
        <v>16147.562999999998</v>
      </c>
      <c r="K108" s="38">
        <f t="shared" si="15"/>
        <v>20603.192999999999</v>
      </c>
      <c r="L108" s="38">
        <f t="shared" si="15"/>
        <v>16153.556</v>
      </c>
      <c r="M108" s="38">
        <f t="shared" si="15"/>
        <v>15730.347000000002</v>
      </c>
      <c r="N108" s="38">
        <f t="shared" si="15"/>
        <v>14122.505000000001</v>
      </c>
      <c r="O108" s="39">
        <f t="shared" si="14"/>
        <v>186430.38200000001</v>
      </c>
      <c r="R108" s="27">
        <v>10306</v>
      </c>
      <c r="S108" s="27" t="s">
        <v>97</v>
      </c>
      <c r="T108" s="28">
        <v>3.0214E-3</v>
      </c>
      <c r="U108" s="28">
        <v>3.0176999999999999E-3</v>
      </c>
      <c r="V108" s="28">
        <v>3.0214E-3</v>
      </c>
      <c r="W108" s="28">
        <v>3.0176999999999999E-3</v>
      </c>
      <c r="X108" s="28">
        <v>0</v>
      </c>
      <c r="Y108" s="28">
        <v>0</v>
      </c>
      <c r="Z108" s="29">
        <v>25.632000000000001</v>
      </c>
      <c r="AA108" s="29">
        <v>21.224</v>
      </c>
      <c r="AB108" s="29">
        <v>21.198</v>
      </c>
      <c r="AC108" s="30">
        <v>0</v>
      </c>
    </row>
    <row r="109" spans="1:29" x14ac:dyDescent="0.3">
      <c r="A109" s="27">
        <f t="shared" si="11"/>
        <v>10307</v>
      </c>
      <c r="B109" s="27" t="str">
        <f t="shared" si="12"/>
        <v>Peninsula Light Company</v>
      </c>
      <c r="C109" s="38">
        <f t="shared" si="13"/>
        <v>44334.093999999997</v>
      </c>
      <c r="D109" s="38">
        <f t="shared" si="15"/>
        <v>56318.131000000008</v>
      </c>
      <c r="E109" s="38">
        <f t="shared" si="15"/>
        <v>55638.012000000002</v>
      </c>
      <c r="F109" s="38">
        <f t="shared" si="15"/>
        <v>46377.672000000006</v>
      </c>
      <c r="G109" s="38">
        <f t="shared" si="15"/>
        <v>42013.358999999997</v>
      </c>
      <c r="H109" s="38">
        <f t="shared" si="15"/>
        <v>46732.203000000001</v>
      </c>
      <c r="I109" s="38">
        <f t="shared" si="15"/>
        <v>38049.409999999996</v>
      </c>
      <c r="J109" s="38">
        <f t="shared" si="15"/>
        <v>51315.303</v>
      </c>
      <c r="K109" s="38">
        <f t="shared" si="15"/>
        <v>65474.837</v>
      </c>
      <c r="L109" s="38">
        <f t="shared" si="15"/>
        <v>51334.349000000002</v>
      </c>
      <c r="M109" s="38">
        <f t="shared" si="15"/>
        <v>49989.434000000001</v>
      </c>
      <c r="N109" s="38">
        <f t="shared" si="15"/>
        <v>44879.877999999997</v>
      </c>
      <c r="O109" s="39">
        <f t="shared" si="14"/>
        <v>592456.68200000003</v>
      </c>
      <c r="R109" s="27">
        <v>10307</v>
      </c>
      <c r="S109" s="27" t="s">
        <v>98</v>
      </c>
      <c r="T109" s="28">
        <v>9.6016999999999995E-3</v>
      </c>
      <c r="U109" s="28">
        <v>9.6091000000000006E-3</v>
      </c>
      <c r="V109" s="28">
        <v>9.6016999999999995E-3</v>
      </c>
      <c r="W109" s="28">
        <v>9.6091000000000006E-3</v>
      </c>
      <c r="X109" s="28">
        <v>0</v>
      </c>
      <c r="Y109" s="28">
        <v>0</v>
      </c>
      <c r="Z109" s="29">
        <v>71.603999999999999</v>
      </c>
      <c r="AA109" s="29">
        <v>67.447000000000003</v>
      </c>
      <c r="AB109" s="29">
        <v>67.498999999999995</v>
      </c>
      <c r="AC109" s="30">
        <v>0</v>
      </c>
    </row>
    <row r="110" spans="1:29" x14ac:dyDescent="0.3">
      <c r="A110" s="27">
        <f t="shared" si="11"/>
        <v>10326</v>
      </c>
      <c r="B110" s="27" t="str">
        <f t="shared" si="12"/>
        <v>U.S. Naval Base,  Bremerton</v>
      </c>
      <c r="C110" s="38">
        <f t="shared" si="13"/>
        <v>19404.737000000001</v>
      </c>
      <c r="D110" s="38">
        <f t="shared" si="15"/>
        <v>24650.07</v>
      </c>
      <c r="E110" s="38">
        <f t="shared" si="15"/>
        <v>24352.387000000002</v>
      </c>
      <c r="F110" s="38">
        <f t="shared" si="15"/>
        <v>20299.197</v>
      </c>
      <c r="G110" s="38">
        <f t="shared" si="15"/>
        <v>18388.967000000001</v>
      </c>
      <c r="H110" s="38">
        <f t="shared" si="15"/>
        <v>20454.373</v>
      </c>
      <c r="I110" s="38">
        <f t="shared" si="15"/>
        <v>16653.973000000002</v>
      </c>
      <c r="J110" s="38">
        <f t="shared" si="15"/>
        <v>22460.366000000002</v>
      </c>
      <c r="K110" s="38">
        <f t="shared" si="15"/>
        <v>28657.899000000001</v>
      </c>
      <c r="L110" s="38">
        <f t="shared" si="15"/>
        <v>22468.701000000001</v>
      </c>
      <c r="M110" s="38">
        <f t="shared" si="15"/>
        <v>21880.042000000001</v>
      </c>
      <c r="N110" s="38">
        <f t="shared" si="15"/>
        <v>19643.621999999999</v>
      </c>
      <c r="O110" s="39">
        <f t="shared" si="14"/>
        <v>259314.334</v>
      </c>
      <c r="R110" s="27">
        <v>10326</v>
      </c>
      <c r="S110" s="27" t="s">
        <v>99</v>
      </c>
      <c r="T110" s="28">
        <v>4.2025999999999999E-3</v>
      </c>
      <c r="U110" s="28">
        <v>4.2047999999999999E-3</v>
      </c>
      <c r="V110" s="28">
        <v>4.2025999999999999E-3</v>
      </c>
      <c r="W110" s="28">
        <v>4.2047999999999999E-3</v>
      </c>
      <c r="X110" s="28">
        <v>0</v>
      </c>
      <c r="Y110" s="28">
        <v>0</v>
      </c>
      <c r="Z110" s="29">
        <v>30.297999999999998</v>
      </c>
      <c r="AA110" s="29">
        <v>29.521000000000001</v>
      </c>
      <c r="AB110" s="29">
        <v>29.536999999999999</v>
      </c>
      <c r="AC110" s="30">
        <v>0</v>
      </c>
    </row>
    <row r="111" spans="1:29" x14ac:dyDescent="0.3">
      <c r="A111" s="27">
        <f t="shared" si="11"/>
        <v>10331</v>
      </c>
      <c r="B111" s="27" t="str">
        <f t="shared" si="12"/>
        <v>Raft River Elec Coop</v>
      </c>
      <c r="C111" s="38">
        <f t="shared" si="13"/>
        <v>23620.81</v>
      </c>
      <c r="D111" s="38">
        <f t="shared" ref="D111:N126" si="16">ROUND(D$3*$V111, 3)+ROUND(D$4*$V111,3)</f>
        <v>30005.796999999999</v>
      </c>
      <c r="E111" s="38">
        <f t="shared" si="16"/>
        <v>29643.436000000002</v>
      </c>
      <c r="F111" s="38">
        <f t="shared" si="16"/>
        <v>24709.61</v>
      </c>
      <c r="G111" s="38">
        <f t="shared" si="16"/>
        <v>22384.343000000001</v>
      </c>
      <c r="H111" s="38">
        <f t="shared" si="16"/>
        <v>24898.500999999997</v>
      </c>
      <c r="I111" s="38">
        <f t="shared" si="16"/>
        <v>20272.385000000002</v>
      </c>
      <c r="J111" s="38">
        <f t="shared" si="16"/>
        <v>27340.334999999999</v>
      </c>
      <c r="K111" s="38">
        <f t="shared" si="16"/>
        <v>34884.407999999996</v>
      </c>
      <c r="L111" s="38">
        <f t="shared" si="16"/>
        <v>27350.482</v>
      </c>
      <c r="M111" s="38">
        <f t="shared" si="16"/>
        <v>26633.923999999999</v>
      </c>
      <c r="N111" s="38">
        <f t="shared" si="16"/>
        <v>23911.597999999998</v>
      </c>
      <c r="O111" s="39">
        <f t="shared" si="14"/>
        <v>315655.62900000002</v>
      </c>
      <c r="R111" s="27">
        <v>10331</v>
      </c>
      <c r="S111" s="27" t="s">
        <v>100</v>
      </c>
      <c r="T111" s="28">
        <v>5.1156999999999999E-3</v>
      </c>
      <c r="U111" s="28">
        <v>5.1225999999999997E-3</v>
      </c>
      <c r="V111" s="28">
        <v>5.1156999999999999E-3</v>
      </c>
      <c r="W111" s="28">
        <v>5.1225999999999997E-3</v>
      </c>
      <c r="X111" s="28">
        <v>0</v>
      </c>
      <c r="Y111" s="28">
        <v>0</v>
      </c>
      <c r="Z111" s="29">
        <v>36.408000000000001</v>
      </c>
      <c r="AA111" s="29">
        <v>35.935000000000002</v>
      </c>
      <c r="AB111" s="29">
        <v>35.984000000000002</v>
      </c>
      <c r="AC111" s="30">
        <v>7.0000000000000007E-2</v>
      </c>
    </row>
    <row r="112" spans="1:29" x14ac:dyDescent="0.3">
      <c r="A112" s="27">
        <f t="shared" si="11"/>
        <v>10333</v>
      </c>
      <c r="B112" s="27" t="str">
        <f t="shared" si="12"/>
        <v>Ravalli County Elec Coop</v>
      </c>
      <c r="C112" s="38">
        <f t="shared" si="13"/>
        <v>12017.491</v>
      </c>
      <c r="D112" s="38">
        <f t="shared" si="16"/>
        <v>15265.963</v>
      </c>
      <c r="E112" s="38">
        <f t="shared" si="16"/>
        <v>15081.606</v>
      </c>
      <c r="F112" s="38">
        <f t="shared" si="16"/>
        <v>12571.437</v>
      </c>
      <c r="G112" s="38">
        <f t="shared" si="16"/>
        <v>11388.418000000001</v>
      </c>
      <c r="H112" s="38">
        <f t="shared" si="16"/>
        <v>12667.538</v>
      </c>
      <c r="I112" s="38">
        <f t="shared" si="16"/>
        <v>10313.923999999999</v>
      </c>
      <c r="J112" s="38">
        <f t="shared" si="16"/>
        <v>13909.864</v>
      </c>
      <c r="K112" s="38">
        <f t="shared" si="16"/>
        <v>17748.041000000001</v>
      </c>
      <c r="L112" s="38">
        <f t="shared" si="16"/>
        <v>13915.026</v>
      </c>
      <c r="M112" s="38">
        <f t="shared" si="16"/>
        <v>13550.465</v>
      </c>
      <c r="N112" s="38">
        <f t="shared" si="16"/>
        <v>12165.435000000001</v>
      </c>
      <c r="O112" s="39">
        <f t="shared" si="14"/>
        <v>160595.20799999998</v>
      </c>
      <c r="R112" s="27">
        <v>10333</v>
      </c>
      <c r="S112" s="27" t="s">
        <v>101</v>
      </c>
      <c r="T112" s="28">
        <v>2.6026999999999999E-3</v>
      </c>
      <c r="U112" s="28">
        <v>2.6218000000000001E-3</v>
      </c>
      <c r="V112" s="28">
        <v>2.6026999999999999E-3</v>
      </c>
      <c r="W112" s="28">
        <v>2.6218000000000001E-3</v>
      </c>
      <c r="X112" s="28">
        <v>0</v>
      </c>
      <c r="Y112" s="28">
        <v>0</v>
      </c>
      <c r="Z112" s="29">
        <v>18.417000000000002</v>
      </c>
      <c r="AA112" s="29">
        <v>18.283000000000001</v>
      </c>
      <c r="AB112" s="29">
        <v>18.417000000000002</v>
      </c>
      <c r="AC112" s="30">
        <v>0.06</v>
      </c>
    </row>
    <row r="113" spans="1:29" x14ac:dyDescent="0.3">
      <c r="A113" s="27">
        <f t="shared" si="11"/>
        <v>10338</v>
      </c>
      <c r="B113" s="27" t="str">
        <f t="shared" si="12"/>
        <v>Riverside Elec Coop</v>
      </c>
      <c r="C113" s="38">
        <f t="shared" si="13"/>
        <v>1551.4190000000001</v>
      </c>
      <c r="D113" s="38">
        <f t="shared" si="16"/>
        <v>1970.7850000000001</v>
      </c>
      <c r="E113" s="38">
        <f t="shared" si="16"/>
        <v>1946.9849999999999</v>
      </c>
      <c r="F113" s="38">
        <f t="shared" si="16"/>
        <v>1622.931</v>
      </c>
      <c r="G113" s="38">
        <f t="shared" si="16"/>
        <v>1470.2080000000001</v>
      </c>
      <c r="H113" s="38">
        <f t="shared" si="16"/>
        <v>1635.3380000000002</v>
      </c>
      <c r="I113" s="38">
        <f t="shared" si="16"/>
        <v>1331.4929999999999</v>
      </c>
      <c r="J113" s="38">
        <f t="shared" si="16"/>
        <v>1795.7170000000001</v>
      </c>
      <c r="K113" s="38">
        <f t="shared" si="16"/>
        <v>2291.2129999999997</v>
      </c>
      <c r="L113" s="38">
        <f t="shared" si="16"/>
        <v>1796.384</v>
      </c>
      <c r="M113" s="38">
        <f t="shared" si="16"/>
        <v>1749.3200000000002</v>
      </c>
      <c r="N113" s="38">
        <f t="shared" si="16"/>
        <v>1570.518</v>
      </c>
      <c r="O113" s="39">
        <f t="shared" si="14"/>
        <v>20732.311000000002</v>
      </c>
      <c r="R113" s="27">
        <v>10338</v>
      </c>
      <c r="S113" s="27" t="s">
        <v>102</v>
      </c>
      <c r="T113" s="28">
        <v>3.3599999999999998E-4</v>
      </c>
      <c r="U113" s="28">
        <v>3.3599999999999998E-4</v>
      </c>
      <c r="V113" s="28">
        <v>3.3599999999999998E-4</v>
      </c>
      <c r="W113" s="28">
        <v>3.3599999999999998E-4</v>
      </c>
      <c r="X113" s="28">
        <v>0</v>
      </c>
      <c r="Y113" s="28">
        <v>0</v>
      </c>
      <c r="Z113" s="29">
        <v>2.36</v>
      </c>
      <c r="AA113" s="29">
        <v>2.36</v>
      </c>
      <c r="AB113" s="29">
        <v>2.36</v>
      </c>
      <c r="AC113" s="30">
        <v>3.0929999999999999E-2</v>
      </c>
    </row>
    <row r="114" spans="1:29" x14ac:dyDescent="0.3">
      <c r="A114" s="27">
        <f t="shared" si="11"/>
        <v>10342</v>
      </c>
      <c r="B114" s="27" t="str">
        <f t="shared" si="12"/>
        <v>Salem Elec Coop</v>
      </c>
      <c r="C114" s="38">
        <f t="shared" si="13"/>
        <v>24940.438999999998</v>
      </c>
      <c r="D114" s="38">
        <f t="shared" si="16"/>
        <v>31682.137999999999</v>
      </c>
      <c r="E114" s="38">
        <f t="shared" si="16"/>
        <v>31299.532999999996</v>
      </c>
      <c r="F114" s="38">
        <f t="shared" si="16"/>
        <v>26090.066999999999</v>
      </c>
      <c r="G114" s="38">
        <f t="shared" si="16"/>
        <v>23634.894</v>
      </c>
      <c r="H114" s="38">
        <f t="shared" si="16"/>
        <v>26289.510000000002</v>
      </c>
      <c r="I114" s="38">
        <f t="shared" si="16"/>
        <v>21404.948</v>
      </c>
      <c r="J114" s="38">
        <f t="shared" si="16"/>
        <v>28867.763999999999</v>
      </c>
      <c r="K114" s="38">
        <f t="shared" si="16"/>
        <v>36833.303999999996</v>
      </c>
      <c r="L114" s="38">
        <f t="shared" si="16"/>
        <v>28878.477999999999</v>
      </c>
      <c r="M114" s="38">
        <f t="shared" si="16"/>
        <v>28121.887000000002</v>
      </c>
      <c r="N114" s="38">
        <f t="shared" si="16"/>
        <v>25247.472000000002</v>
      </c>
      <c r="O114" s="39">
        <f t="shared" si="14"/>
        <v>333290.43400000001</v>
      </c>
      <c r="R114" s="27">
        <v>10342</v>
      </c>
      <c r="S114" s="27" t="s">
        <v>103</v>
      </c>
      <c r="T114" s="28">
        <v>5.4015000000000001E-3</v>
      </c>
      <c r="U114" s="28">
        <v>5.4156999999999999E-3</v>
      </c>
      <c r="V114" s="28">
        <v>5.4015000000000001E-3</v>
      </c>
      <c r="W114" s="28">
        <v>5.4156999999999999E-3</v>
      </c>
      <c r="X114" s="28">
        <v>0</v>
      </c>
      <c r="Y114" s="28">
        <v>0</v>
      </c>
      <c r="Z114" s="29">
        <v>38.485999999999997</v>
      </c>
      <c r="AA114" s="29">
        <v>37.942999999999998</v>
      </c>
      <c r="AB114" s="29">
        <v>38.042999999999999</v>
      </c>
      <c r="AC114" s="30">
        <v>0</v>
      </c>
    </row>
    <row r="115" spans="1:29" x14ac:dyDescent="0.3">
      <c r="A115" s="27">
        <f t="shared" si="11"/>
        <v>10343</v>
      </c>
      <c r="B115" s="27" t="str">
        <f t="shared" si="12"/>
        <v>Salmon River Elec Coop</v>
      </c>
      <c r="C115" s="38">
        <f t="shared" si="13"/>
        <v>7937.63</v>
      </c>
      <c r="D115" s="38">
        <f t="shared" si="16"/>
        <v>10083.267</v>
      </c>
      <c r="E115" s="38">
        <f t="shared" si="16"/>
        <v>9961.4969999999994</v>
      </c>
      <c r="F115" s="38">
        <f t="shared" si="16"/>
        <v>8303.5149999999994</v>
      </c>
      <c r="G115" s="38">
        <f t="shared" si="16"/>
        <v>7522.1230000000005</v>
      </c>
      <c r="H115" s="38">
        <f t="shared" si="16"/>
        <v>8366.99</v>
      </c>
      <c r="I115" s="38">
        <f t="shared" si="16"/>
        <v>6812.4129999999996</v>
      </c>
      <c r="J115" s="38">
        <f t="shared" si="16"/>
        <v>9187.5550000000003</v>
      </c>
      <c r="K115" s="38">
        <f t="shared" si="16"/>
        <v>11722.694</v>
      </c>
      <c r="L115" s="38">
        <f t="shared" si="16"/>
        <v>9190.9629999999997</v>
      </c>
      <c r="M115" s="38">
        <f t="shared" si="16"/>
        <v>8950.1689999999999</v>
      </c>
      <c r="N115" s="38">
        <f t="shared" si="16"/>
        <v>8035.3469999999998</v>
      </c>
      <c r="O115" s="39">
        <f t="shared" si="14"/>
        <v>106074.16299999999</v>
      </c>
      <c r="R115" s="27">
        <v>10343</v>
      </c>
      <c r="S115" s="27" t="s">
        <v>104</v>
      </c>
      <c r="T115" s="28">
        <v>1.7191000000000001E-3</v>
      </c>
      <c r="U115" s="28">
        <v>1.7187999999999999E-3</v>
      </c>
      <c r="V115" s="28">
        <v>1.7191000000000001E-3</v>
      </c>
      <c r="W115" s="28">
        <v>1.7187999999999999E-3</v>
      </c>
      <c r="X115" s="28">
        <v>0</v>
      </c>
      <c r="Y115" s="28">
        <v>0</v>
      </c>
      <c r="Z115" s="29">
        <v>31.222999999999999</v>
      </c>
      <c r="AA115" s="29">
        <v>12.076000000000001</v>
      </c>
      <c r="AB115" s="29">
        <v>12.074</v>
      </c>
      <c r="AC115" s="30">
        <v>7.0000000000000007E-2</v>
      </c>
    </row>
    <row r="116" spans="1:29" x14ac:dyDescent="0.3">
      <c r="A116" s="27">
        <f t="shared" si="11"/>
        <v>10349</v>
      </c>
      <c r="B116" s="27" t="str">
        <f t="shared" si="12"/>
        <v>Seattle City Light</v>
      </c>
      <c r="C116" s="38">
        <f t="shared" si="13"/>
        <v>322033.40299999999</v>
      </c>
      <c r="D116" s="38">
        <f t="shared" si="16"/>
        <v>409082.88199999998</v>
      </c>
      <c r="E116" s="38">
        <f t="shared" si="16"/>
        <v>404142.652</v>
      </c>
      <c r="F116" s="38">
        <f t="shared" si="16"/>
        <v>336877.516</v>
      </c>
      <c r="G116" s="38">
        <f t="shared" si="16"/>
        <v>305176.08100000001</v>
      </c>
      <c r="H116" s="38">
        <f t="shared" si="16"/>
        <v>339452.75099999999</v>
      </c>
      <c r="I116" s="38">
        <f t="shared" si="16"/>
        <v>276382.79599999997</v>
      </c>
      <c r="J116" s="38">
        <f t="shared" si="16"/>
        <v>372743.41399999999</v>
      </c>
      <c r="K116" s="38">
        <f t="shared" si="16"/>
        <v>475595.245</v>
      </c>
      <c r="L116" s="38">
        <f t="shared" si="16"/>
        <v>372881.75199999998</v>
      </c>
      <c r="M116" s="38">
        <f t="shared" si="16"/>
        <v>363112.57699999999</v>
      </c>
      <c r="N116" s="38">
        <f t="shared" si="16"/>
        <v>325997.85100000002</v>
      </c>
      <c r="O116" s="39">
        <f t="shared" si="14"/>
        <v>4303478.92</v>
      </c>
      <c r="R116" s="27">
        <v>10349</v>
      </c>
      <c r="S116" s="27" t="s">
        <v>105</v>
      </c>
      <c r="T116" s="28">
        <v>6.9744700000000007E-2</v>
      </c>
      <c r="U116" s="28">
        <v>7.1892700000000004E-2</v>
      </c>
      <c r="V116" s="28">
        <v>6.9744700000000007E-2</v>
      </c>
      <c r="W116" s="28">
        <v>7.1892700000000004E-2</v>
      </c>
      <c r="X116" s="28">
        <v>0</v>
      </c>
      <c r="Y116" s="28">
        <v>0</v>
      </c>
      <c r="Z116" s="29">
        <v>521.13800000000003</v>
      </c>
      <c r="AA116" s="29">
        <v>489.923</v>
      </c>
      <c r="AB116" s="29">
        <v>505.01100000000002</v>
      </c>
      <c r="AC116" s="30">
        <v>0</v>
      </c>
    </row>
    <row r="117" spans="1:29" x14ac:dyDescent="0.3">
      <c r="A117" s="27">
        <f t="shared" si="11"/>
        <v>10352</v>
      </c>
      <c r="B117" s="27" t="str">
        <f t="shared" si="12"/>
        <v>Skamania County PUD #1</v>
      </c>
      <c r="C117" s="38">
        <f t="shared" si="13"/>
        <v>10069.446</v>
      </c>
      <c r="D117" s="38">
        <f t="shared" si="16"/>
        <v>12791.337</v>
      </c>
      <c r="E117" s="38">
        <f t="shared" si="16"/>
        <v>12636.864000000001</v>
      </c>
      <c r="F117" s="38">
        <f t="shared" si="16"/>
        <v>10533.596</v>
      </c>
      <c r="G117" s="38">
        <f t="shared" si="16"/>
        <v>9542.3450000000012</v>
      </c>
      <c r="H117" s="38">
        <f t="shared" si="16"/>
        <v>10614.118999999999</v>
      </c>
      <c r="I117" s="38">
        <f t="shared" si="16"/>
        <v>8642.0280000000002</v>
      </c>
      <c r="J117" s="38">
        <f t="shared" si="16"/>
        <v>11655.062</v>
      </c>
      <c r="K117" s="38">
        <f t="shared" si="16"/>
        <v>14871.066999999999</v>
      </c>
      <c r="L117" s="38">
        <f t="shared" si="16"/>
        <v>11659.387999999999</v>
      </c>
      <c r="M117" s="38">
        <f t="shared" si="16"/>
        <v>11353.922</v>
      </c>
      <c r="N117" s="38">
        <f t="shared" si="16"/>
        <v>10193.406999999999</v>
      </c>
      <c r="O117" s="39">
        <f t="shared" si="14"/>
        <v>134562.58100000001</v>
      </c>
      <c r="R117" s="27">
        <v>10352</v>
      </c>
      <c r="S117" s="27" t="s">
        <v>106</v>
      </c>
      <c r="T117" s="28">
        <v>2.1808000000000001E-3</v>
      </c>
      <c r="U117" s="28">
        <v>2.1836E-3</v>
      </c>
      <c r="V117" s="28">
        <v>2.1808000000000001E-3</v>
      </c>
      <c r="W117" s="28">
        <v>2.1836E-3</v>
      </c>
      <c r="X117" s="28">
        <v>0</v>
      </c>
      <c r="Y117" s="28">
        <v>0</v>
      </c>
      <c r="Z117" s="29">
        <v>15.821999999999999</v>
      </c>
      <c r="AA117" s="29">
        <v>15.319000000000001</v>
      </c>
      <c r="AB117" s="29">
        <v>15.339</v>
      </c>
      <c r="AC117" s="30">
        <v>0.05</v>
      </c>
    </row>
    <row r="118" spans="1:29" x14ac:dyDescent="0.3">
      <c r="A118" s="27">
        <f t="shared" si="11"/>
        <v>10354</v>
      </c>
      <c r="B118" s="27" t="str">
        <f t="shared" si="12"/>
        <v>Snohomish County PUD #1</v>
      </c>
      <c r="C118" s="38">
        <f t="shared" si="13"/>
        <v>224142.584</v>
      </c>
      <c r="D118" s="38">
        <f t="shared" si="16"/>
        <v>284731.005</v>
      </c>
      <c r="E118" s="38">
        <f t="shared" si="16"/>
        <v>281292.49300000002</v>
      </c>
      <c r="F118" s="38">
        <f t="shared" si="16"/>
        <v>234474.42599999998</v>
      </c>
      <c r="G118" s="38">
        <f t="shared" si="16"/>
        <v>212409.505</v>
      </c>
      <c r="H118" s="38">
        <f t="shared" si="16"/>
        <v>236266.848</v>
      </c>
      <c r="I118" s="38">
        <f t="shared" si="16"/>
        <v>192368.72200000001</v>
      </c>
      <c r="J118" s="38">
        <f t="shared" si="16"/>
        <v>259437.90700000001</v>
      </c>
      <c r="K118" s="38">
        <f t="shared" si="16"/>
        <v>331025.125</v>
      </c>
      <c r="L118" s="38">
        <f t="shared" si="16"/>
        <v>259534.19400000002</v>
      </c>
      <c r="M118" s="38">
        <f t="shared" si="16"/>
        <v>252734.62599999999</v>
      </c>
      <c r="N118" s="38">
        <f t="shared" si="16"/>
        <v>226901.93</v>
      </c>
      <c r="O118" s="39">
        <f t="shared" si="14"/>
        <v>2995319.3650000007</v>
      </c>
      <c r="R118" s="27">
        <v>10354</v>
      </c>
      <c r="S118" s="27" t="s">
        <v>107</v>
      </c>
      <c r="T118" s="28">
        <v>0.1029076</v>
      </c>
      <c r="U118" s="28">
        <v>0.1031137</v>
      </c>
      <c r="V118" s="28">
        <v>4.8543900000000001E-2</v>
      </c>
      <c r="W118" s="28">
        <v>4.8750000000000002E-2</v>
      </c>
      <c r="X118" s="28">
        <v>5.4363700000000001E-2</v>
      </c>
      <c r="Y118" s="28">
        <v>5.4363700000000001E-2</v>
      </c>
      <c r="Z118" s="29">
        <v>794.83900000000006</v>
      </c>
      <c r="AA118" s="29">
        <v>722.87599999999998</v>
      </c>
      <c r="AB118" s="29">
        <v>724.32399999999996</v>
      </c>
      <c r="AC118" s="30">
        <v>0</v>
      </c>
    </row>
    <row r="119" spans="1:29" x14ac:dyDescent="0.3">
      <c r="A119" s="27">
        <f t="shared" si="11"/>
        <v>10360</v>
      </c>
      <c r="B119" s="27" t="str">
        <f t="shared" si="12"/>
        <v>Southside Elec Lines</v>
      </c>
      <c r="C119" s="38">
        <f t="shared" si="13"/>
        <v>4422.9279999999999</v>
      </c>
      <c r="D119" s="38">
        <f t="shared" si="16"/>
        <v>5618.4979999999996</v>
      </c>
      <c r="E119" s="38">
        <f t="shared" si="16"/>
        <v>5550.6480000000001</v>
      </c>
      <c r="F119" s="38">
        <f t="shared" si="16"/>
        <v>4626.8029999999999</v>
      </c>
      <c r="G119" s="38">
        <f t="shared" si="16"/>
        <v>4191.4030000000002</v>
      </c>
      <c r="H119" s="38">
        <f t="shared" si="16"/>
        <v>4662.1720000000005</v>
      </c>
      <c r="I119" s="38">
        <f t="shared" si="16"/>
        <v>3795.9459999999999</v>
      </c>
      <c r="J119" s="38">
        <f t="shared" si="16"/>
        <v>5119.3990000000003</v>
      </c>
      <c r="K119" s="38">
        <f t="shared" si="16"/>
        <v>6532.0039999999999</v>
      </c>
      <c r="L119" s="38">
        <f t="shared" si="16"/>
        <v>5121.2979999999998</v>
      </c>
      <c r="M119" s="38">
        <f t="shared" si="16"/>
        <v>4987.125</v>
      </c>
      <c r="N119" s="38">
        <f t="shared" si="16"/>
        <v>4477.3770000000004</v>
      </c>
      <c r="O119" s="39">
        <f t="shared" si="14"/>
        <v>59105.601000000002</v>
      </c>
      <c r="R119" s="27">
        <v>10360</v>
      </c>
      <c r="S119" s="27" t="s">
        <v>108</v>
      </c>
      <c r="T119" s="28">
        <v>9.5790000000000003E-4</v>
      </c>
      <c r="U119" s="28">
        <v>9.5790000000000003E-4</v>
      </c>
      <c r="V119" s="28">
        <v>9.5790000000000003E-4</v>
      </c>
      <c r="W119" s="28">
        <v>9.5790000000000003E-4</v>
      </c>
      <c r="X119" s="28">
        <v>0</v>
      </c>
      <c r="Y119" s="28">
        <v>0</v>
      </c>
      <c r="Z119" s="29">
        <v>6.7290000000000001</v>
      </c>
      <c r="AA119" s="29">
        <v>6.7290000000000001</v>
      </c>
      <c r="AB119" s="29">
        <v>6.7290000000000001</v>
      </c>
      <c r="AC119" s="30">
        <v>4.7800000000000002E-2</v>
      </c>
    </row>
    <row r="120" spans="1:29" x14ac:dyDescent="0.3">
      <c r="A120" s="27">
        <f t="shared" si="11"/>
        <v>10363</v>
      </c>
      <c r="B120" s="27" t="str">
        <f t="shared" si="12"/>
        <v>Springfield Utility Board</v>
      </c>
      <c r="C120" s="38">
        <f t="shared" si="13"/>
        <v>62327.317999999999</v>
      </c>
      <c r="D120" s="38">
        <f t="shared" si="16"/>
        <v>79175.137000000002</v>
      </c>
      <c r="E120" s="38">
        <f t="shared" si="16"/>
        <v>78218.990000000005</v>
      </c>
      <c r="F120" s="38">
        <f t="shared" si="16"/>
        <v>65200.292000000001</v>
      </c>
      <c r="G120" s="38">
        <f t="shared" si="16"/>
        <v>59064.701000000001</v>
      </c>
      <c r="H120" s="38">
        <f t="shared" si="16"/>
        <v>65698.710999999996</v>
      </c>
      <c r="I120" s="38">
        <f t="shared" si="16"/>
        <v>53491.962</v>
      </c>
      <c r="J120" s="38">
        <f t="shared" si="16"/>
        <v>72141.887000000002</v>
      </c>
      <c r="K120" s="38">
        <f t="shared" si="16"/>
        <v>92048.141000000003</v>
      </c>
      <c r="L120" s="38">
        <f t="shared" si="16"/>
        <v>72168.660999999993</v>
      </c>
      <c r="M120" s="38">
        <f t="shared" si="16"/>
        <v>70277.904999999999</v>
      </c>
      <c r="N120" s="38">
        <f t="shared" si="16"/>
        <v>63094.608999999997</v>
      </c>
      <c r="O120" s="39">
        <f t="shared" si="14"/>
        <v>832908.31400000001</v>
      </c>
      <c r="R120" s="27">
        <v>10363</v>
      </c>
      <c r="S120" s="27" t="s">
        <v>109</v>
      </c>
      <c r="T120" s="28">
        <v>1.3498599999999999E-2</v>
      </c>
      <c r="U120" s="28">
        <v>1.35224E-2</v>
      </c>
      <c r="V120" s="28">
        <v>1.3498599999999999E-2</v>
      </c>
      <c r="W120" s="28">
        <v>1.35224E-2</v>
      </c>
      <c r="X120" s="28">
        <v>0</v>
      </c>
      <c r="Y120" s="28">
        <v>0</v>
      </c>
      <c r="Z120" s="29">
        <v>100.173</v>
      </c>
      <c r="AA120" s="29">
        <v>94.820999999999998</v>
      </c>
      <c r="AB120" s="29">
        <v>94.988</v>
      </c>
      <c r="AC120" s="30">
        <v>0</v>
      </c>
    </row>
    <row r="121" spans="1:29" x14ac:dyDescent="0.3">
      <c r="A121" s="27">
        <f t="shared" si="11"/>
        <v>10369</v>
      </c>
      <c r="B121" s="27" t="str">
        <f t="shared" si="12"/>
        <v>Surprise Valley Elec Coop</v>
      </c>
      <c r="C121" s="38">
        <f t="shared" si="13"/>
        <v>10744.035</v>
      </c>
      <c r="D121" s="38">
        <f t="shared" si="16"/>
        <v>13648.277</v>
      </c>
      <c r="E121" s="38">
        <f t="shared" si="16"/>
        <v>13483.455</v>
      </c>
      <c r="F121" s="38">
        <f t="shared" si="16"/>
        <v>11239.280999999999</v>
      </c>
      <c r="G121" s="38">
        <f t="shared" si="16"/>
        <v>10181.621999999999</v>
      </c>
      <c r="H121" s="38">
        <f t="shared" si="16"/>
        <v>11325.199000000001</v>
      </c>
      <c r="I121" s="38">
        <f t="shared" si="16"/>
        <v>9220.9889999999996</v>
      </c>
      <c r="J121" s="38">
        <f t="shared" si="16"/>
        <v>12435.879000000001</v>
      </c>
      <c r="K121" s="38">
        <f t="shared" si="16"/>
        <v>15867.335999999999</v>
      </c>
      <c r="L121" s="38">
        <f t="shared" si="16"/>
        <v>12440.494999999999</v>
      </c>
      <c r="M121" s="38">
        <f t="shared" si="16"/>
        <v>12114.563999999998</v>
      </c>
      <c r="N121" s="38">
        <f t="shared" si="16"/>
        <v>10876.302</v>
      </c>
      <c r="O121" s="39">
        <f t="shared" si="14"/>
        <v>143577.43399999998</v>
      </c>
      <c r="R121" s="27">
        <v>10369</v>
      </c>
      <c r="S121" s="27" t="s">
        <v>110</v>
      </c>
      <c r="T121" s="28">
        <v>2.3268999999999998E-3</v>
      </c>
      <c r="U121" s="28">
        <v>2.3268999999999998E-3</v>
      </c>
      <c r="V121" s="28">
        <v>2.3268999999999998E-3</v>
      </c>
      <c r="W121" s="28">
        <v>2.3268999999999998E-3</v>
      </c>
      <c r="X121" s="28">
        <v>0</v>
      </c>
      <c r="Y121" s="28">
        <v>0</v>
      </c>
      <c r="Z121" s="29">
        <v>16.344999999999999</v>
      </c>
      <c r="AA121" s="29">
        <v>16.344999999999999</v>
      </c>
      <c r="AB121" s="29">
        <v>16.344999999999999</v>
      </c>
      <c r="AC121" s="30">
        <v>7.7149999999999996E-2</v>
      </c>
    </row>
    <row r="122" spans="1:29" x14ac:dyDescent="0.3">
      <c r="A122" s="27">
        <f t="shared" si="11"/>
        <v>10370</v>
      </c>
      <c r="B122" s="27" t="str">
        <f t="shared" si="12"/>
        <v>Tacoma Public Utilities</v>
      </c>
      <c r="C122" s="38">
        <f t="shared" si="13"/>
        <v>106571.374</v>
      </c>
      <c r="D122" s="38">
        <f t="shared" si="16"/>
        <v>135378.891</v>
      </c>
      <c r="E122" s="38">
        <f t="shared" si="16"/>
        <v>133744.008</v>
      </c>
      <c r="F122" s="38">
        <f t="shared" si="16"/>
        <v>111483.77600000001</v>
      </c>
      <c r="G122" s="38">
        <f t="shared" si="16"/>
        <v>100992.736</v>
      </c>
      <c r="H122" s="38">
        <f t="shared" si="16"/>
        <v>112336.00599999999</v>
      </c>
      <c r="I122" s="38">
        <f t="shared" si="16"/>
        <v>91464.097999999998</v>
      </c>
      <c r="J122" s="38">
        <f t="shared" si="16"/>
        <v>123352.97500000001</v>
      </c>
      <c r="K122" s="38">
        <f t="shared" si="16"/>
        <v>157390.00599999999</v>
      </c>
      <c r="L122" s="38">
        <f t="shared" si="16"/>
        <v>123398.75499999999</v>
      </c>
      <c r="M122" s="38">
        <f t="shared" si="16"/>
        <v>120165.81599999999</v>
      </c>
      <c r="N122" s="38">
        <f t="shared" si="16"/>
        <v>107883.34</v>
      </c>
      <c r="O122" s="39">
        <f t="shared" si="14"/>
        <v>1424161.7809999997</v>
      </c>
      <c r="R122" s="27">
        <v>10370</v>
      </c>
      <c r="S122" s="27" t="s">
        <v>111</v>
      </c>
      <c r="T122" s="28">
        <v>5.26919E-2</v>
      </c>
      <c r="U122" s="28">
        <v>5.4482500000000003E-2</v>
      </c>
      <c r="V122" s="28">
        <v>2.3080799999999999E-2</v>
      </c>
      <c r="W122" s="28">
        <v>2.4871400000000002E-2</v>
      </c>
      <c r="X122" s="28">
        <v>2.9611100000000001E-2</v>
      </c>
      <c r="Y122" s="28">
        <v>2.9611100000000001E-2</v>
      </c>
      <c r="Z122" s="29">
        <v>400.26</v>
      </c>
      <c r="AA122" s="29">
        <v>370.13499999999999</v>
      </c>
      <c r="AB122" s="29">
        <v>382.71300000000002</v>
      </c>
      <c r="AC122" s="30">
        <v>0</v>
      </c>
    </row>
    <row r="123" spans="1:29" x14ac:dyDescent="0.3">
      <c r="A123" s="27">
        <f t="shared" si="11"/>
        <v>10371</v>
      </c>
      <c r="B123" s="27" t="str">
        <f t="shared" si="12"/>
        <v>Tanner Elec Coop</v>
      </c>
      <c r="C123" s="38">
        <f t="shared" si="13"/>
        <v>7213.1729999999998</v>
      </c>
      <c r="D123" s="38">
        <f t="shared" si="16"/>
        <v>9162.98</v>
      </c>
      <c r="E123" s="38">
        <f t="shared" si="16"/>
        <v>9052.3240000000005</v>
      </c>
      <c r="F123" s="38">
        <f t="shared" si="16"/>
        <v>7545.6640000000007</v>
      </c>
      <c r="G123" s="38">
        <f t="shared" si="16"/>
        <v>6835.5889999999999</v>
      </c>
      <c r="H123" s="38">
        <f t="shared" si="16"/>
        <v>7603.3459999999995</v>
      </c>
      <c r="I123" s="38">
        <f t="shared" si="16"/>
        <v>6190.652</v>
      </c>
      <c r="J123" s="38">
        <f t="shared" si="16"/>
        <v>8349.018</v>
      </c>
      <c r="K123" s="38">
        <f t="shared" si="16"/>
        <v>10652.779</v>
      </c>
      <c r="L123" s="38">
        <f t="shared" si="16"/>
        <v>8352.116</v>
      </c>
      <c r="M123" s="38">
        <f t="shared" si="16"/>
        <v>8133.299</v>
      </c>
      <c r="N123" s="38">
        <f t="shared" si="16"/>
        <v>7301.9719999999998</v>
      </c>
      <c r="O123" s="39">
        <f t="shared" si="14"/>
        <v>96392.911999999982</v>
      </c>
      <c r="R123" s="27">
        <v>10371</v>
      </c>
      <c r="S123" s="27" t="s">
        <v>112</v>
      </c>
      <c r="T123" s="28">
        <v>1.5621999999999999E-3</v>
      </c>
      <c r="U123" s="28">
        <v>1.5621999999999999E-3</v>
      </c>
      <c r="V123" s="28">
        <v>1.5621999999999999E-3</v>
      </c>
      <c r="W123" s="28">
        <v>1.5621999999999999E-3</v>
      </c>
      <c r="X123" s="28">
        <v>0</v>
      </c>
      <c r="Y123" s="28">
        <v>0</v>
      </c>
      <c r="Z123" s="29">
        <v>10.974</v>
      </c>
      <c r="AA123" s="29">
        <v>10.974</v>
      </c>
      <c r="AB123" s="29">
        <v>10.974</v>
      </c>
      <c r="AC123" s="30">
        <v>0</v>
      </c>
    </row>
    <row r="124" spans="1:29" x14ac:dyDescent="0.3">
      <c r="A124" s="27">
        <f t="shared" si="11"/>
        <v>10376</v>
      </c>
      <c r="B124" s="27" t="str">
        <f t="shared" si="12"/>
        <v>Tillamook PUD #1</v>
      </c>
      <c r="C124" s="38">
        <f t="shared" si="13"/>
        <v>35828.073000000004</v>
      </c>
      <c r="D124" s="38">
        <f t="shared" si="16"/>
        <v>45512.828999999998</v>
      </c>
      <c r="E124" s="38">
        <f t="shared" si="16"/>
        <v>44963.201000000001</v>
      </c>
      <c r="F124" s="38">
        <f t="shared" si="16"/>
        <v>37479.565999999999</v>
      </c>
      <c r="G124" s="38">
        <f t="shared" si="16"/>
        <v>33952.597999999998</v>
      </c>
      <c r="H124" s="38">
        <f t="shared" si="16"/>
        <v>37766.076000000001</v>
      </c>
      <c r="I124" s="38">
        <f t="shared" si="16"/>
        <v>30749.18</v>
      </c>
      <c r="J124" s="38">
        <f t="shared" si="16"/>
        <v>41469.853999999999</v>
      </c>
      <c r="K124" s="38">
        <f t="shared" si="16"/>
        <v>52912.712999999996</v>
      </c>
      <c r="L124" s="38">
        <f t="shared" si="16"/>
        <v>41485.244999999995</v>
      </c>
      <c r="M124" s="38">
        <f t="shared" si="16"/>
        <v>40398.368000000002</v>
      </c>
      <c r="N124" s="38">
        <f t="shared" si="16"/>
        <v>36269.141000000003</v>
      </c>
      <c r="O124" s="39">
        <f t="shared" si="14"/>
        <v>478786.84399999998</v>
      </c>
      <c r="R124" s="27">
        <v>10376</v>
      </c>
      <c r="S124" s="27" t="s">
        <v>113</v>
      </c>
      <c r="T124" s="28">
        <v>7.7594999999999999E-3</v>
      </c>
      <c r="U124" s="28">
        <v>7.7758000000000002E-3</v>
      </c>
      <c r="V124" s="28">
        <v>7.7594999999999999E-3</v>
      </c>
      <c r="W124" s="28">
        <v>7.7758000000000002E-3</v>
      </c>
      <c r="X124" s="28">
        <v>0</v>
      </c>
      <c r="Y124" s="28">
        <v>0</v>
      </c>
      <c r="Z124" s="29">
        <v>55.732999999999997</v>
      </c>
      <c r="AA124" s="29">
        <v>54.506999999999998</v>
      </c>
      <c r="AB124" s="29">
        <v>54.621000000000002</v>
      </c>
      <c r="AC124" s="30">
        <v>0</v>
      </c>
    </row>
    <row r="125" spans="1:29" x14ac:dyDescent="0.3">
      <c r="A125" s="27">
        <f t="shared" si="11"/>
        <v>10378</v>
      </c>
      <c r="B125" s="27" t="str">
        <f t="shared" si="12"/>
        <v>Coulee Dam, City of</v>
      </c>
      <c r="C125" s="38">
        <f t="shared" si="13"/>
        <v>1250.8309999999999</v>
      </c>
      <c r="D125" s="38">
        <f t="shared" si="16"/>
        <v>1588.9459999999999</v>
      </c>
      <c r="E125" s="38">
        <f t="shared" si="16"/>
        <v>1569.7570000000001</v>
      </c>
      <c r="F125" s="38">
        <f t="shared" si="16"/>
        <v>1308.4880000000001</v>
      </c>
      <c r="G125" s="38">
        <f t="shared" si="16"/>
        <v>1185.355</v>
      </c>
      <c r="H125" s="38">
        <f t="shared" si="16"/>
        <v>1318.49</v>
      </c>
      <c r="I125" s="38">
        <f t="shared" si="16"/>
        <v>1073.5169999999998</v>
      </c>
      <c r="J125" s="38">
        <f t="shared" si="16"/>
        <v>1447.798</v>
      </c>
      <c r="K125" s="38">
        <f t="shared" si="16"/>
        <v>1847.2909999999999</v>
      </c>
      <c r="L125" s="38">
        <f t="shared" si="16"/>
        <v>1448.335</v>
      </c>
      <c r="M125" s="38">
        <f t="shared" si="16"/>
        <v>1410.3899999999999</v>
      </c>
      <c r="N125" s="38">
        <f t="shared" si="16"/>
        <v>1266.23</v>
      </c>
      <c r="O125" s="39">
        <f t="shared" si="14"/>
        <v>16715.428</v>
      </c>
      <c r="R125" s="27">
        <v>10378</v>
      </c>
      <c r="S125" s="27" t="s">
        <v>114</v>
      </c>
      <c r="T125" s="28">
        <v>2.7090000000000003E-4</v>
      </c>
      <c r="U125" s="28">
        <v>2.7359999999999998E-4</v>
      </c>
      <c r="V125" s="28">
        <v>2.7090000000000003E-4</v>
      </c>
      <c r="W125" s="28">
        <v>2.7359999999999998E-4</v>
      </c>
      <c r="X125" s="28">
        <v>0</v>
      </c>
      <c r="Y125" s="28">
        <v>0</v>
      </c>
      <c r="Z125" s="29">
        <v>2.0099999999999998</v>
      </c>
      <c r="AA125" s="29">
        <v>1.903</v>
      </c>
      <c r="AB125" s="29">
        <v>1.9219999999999999</v>
      </c>
      <c r="AC125" s="30">
        <v>0</v>
      </c>
    </row>
    <row r="126" spans="1:29" x14ac:dyDescent="0.3">
      <c r="A126" s="27">
        <f t="shared" si="11"/>
        <v>10379</v>
      </c>
      <c r="B126" s="27" t="str">
        <f t="shared" si="12"/>
        <v>Steilacoom, Town of</v>
      </c>
      <c r="C126" s="38">
        <f t="shared" si="13"/>
        <v>3119.46</v>
      </c>
      <c r="D126" s="38">
        <f t="shared" si="16"/>
        <v>3962.6869999999999</v>
      </c>
      <c r="E126" s="38">
        <f t="shared" si="16"/>
        <v>3914.8320000000003</v>
      </c>
      <c r="F126" s="38">
        <f t="shared" si="16"/>
        <v>3263.2510000000002</v>
      </c>
      <c r="G126" s="38">
        <f t="shared" si="16"/>
        <v>2956.1660000000002</v>
      </c>
      <c r="H126" s="38">
        <f t="shared" si="16"/>
        <v>3288.1970000000001</v>
      </c>
      <c r="I126" s="38">
        <f t="shared" si="16"/>
        <v>2677.2529999999997</v>
      </c>
      <c r="J126" s="38">
        <f t="shared" si="16"/>
        <v>3610.6750000000002</v>
      </c>
      <c r="K126" s="38">
        <f t="shared" si="16"/>
        <v>4606.9759999999997</v>
      </c>
      <c r="L126" s="38">
        <f t="shared" si="16"/>
        <v>3612.0160000000001</v>
      </c>
      <c r="M126" s="38">
        <f t="shared" si="16"/>
        <v>3517.384</v>
      </c>
      <c r="N126" s="38">
        <f t="shared" si="16"/>
        <v>3157.8620000000001</v>
      </c>
      <c r="O126" s="39">
        <f t="shared" si="14"/>
        <v>41686.758999999998</v>
      </c>
      <c r="R126" s="27">
        <v>10379</v>
      </c>
      <c r="S126" s="27" t="s">
        <v>115</v>
      </c>
      <c r="T126" s="28">
        <v>6.7560000000000005E-4</v>
      </c>
      <c r="U126" s="28">
        <v>6.7880000000000002E-4</v>
      </c>
      <c r="V126" s="28">
        <v>6.7560000000000005E-4</v>
      </c>
      <c r="W126" s="28">
        <v>6.7880000000000002E-4</v>
      </c>
      <c r="X126" s="28">
        <v>0</v>
      </c>
      <c r="Y126" s="28">
        <v>0</v>
      </c>
      <c r="Z126" s="29">
        <v>4.7830000000000004</v>
      </c>
      <c r="AA126" s="29">
        <v>4.7460000000000004</v>
      </c>
      <c r="AB126" s="29">
        <v>4.7679999999999998</v>
      </c>
      <c r="AC126" s="30">
        <v>0</v>
      </c>
    </row>
    <row r="127" spans="1:29" x14ac:dyDescent="0.3">
      <c r="A127" s="27">
        <f t="shared" si="11"/>
        <v>10388</v>
      </c>
      <c r="B127" s="27" t="str">
        <f t="shared" si="12"/>
        <v>Umatilla Elec Coop</v>
      </c>
      <c r="C127" s="38">
        <f t="shared" si="13"/>
        <v>74029.445999999996</v>
      </c>
      <c r="D127" s="38">
        <f t="shared" ref="D127:N141" si="17">ROUND(D$3*$V127, 3)+ROUND(D$4*$V127,3)</f>
        <v>94040.491999999998</v>
      </c>
      <c r="E127" s="38">
        <f t="shared" si="17"/>
        <v>92904.824999999997</v>
      </c>
      <c r="F127" s="38">
        <f t="shared" si="17"/>
        <v>77441.83</v>
      </c>
      <c r="G127" s="38">
        <f t="shared" si="17"/>
        <v>70154.263999999996</v>
      </c>
      <c r="H127" s="38">
        <f t="shared" si="17"/>
        <v>78033.828999999998</v>
      </c>
      <c r="I127" s="38">
        <f t="shared" si="17"/>
        <v>63535.226999999999</v>
      </c>
      <c r="J127" s="38">
        <f t="shared" si="17"/>
        <v>85686.728000000003</v>
      </c>
      <c r="K127" s="38">
        <f t="shared" si="17"/>
        <v>109330.43799999999</v>
      </c>
      <c r="L127" s="38">
        <f t="shared" si="17"/>
        <v>85718.528999999995</v>
      </c>
      <c r="M127" s="38">
        <f t="shared" si="17"/>
        <v>83472.77900000001</v>
      </c>
      <c r="N127" s="38">
        <f t="shared" si="17"/>
        <v>74940.798999999999</v>
      </c>
      <c r="O127" s="39">
        <f t="shared" si="14"/>
        <v>989289.18599999987</v>
      </c>
      <c r="R127" s="27">
        <v>10388</v>
      </c>
      <c r="S127" s="27" t="s">
        <v>116</v>
      </c>
      <c r="T127" s="28">
        <v>1.6032999999999999E-2</v>
      </c>
      <c r="U127" s="28">
        <v>1.6032999999999999E-2</v>
      </c>
      <c r="V127" s="28">
        <v>1.6032999999999999E-2</v>
      </c>
      <c r="W127" s="28">
        <v>1.6032999999999999E-2</v>
      </c>
      <c r="X127" s="28">
        <v>0</v>
      </c>
      <c r="Y127" s="28">
        <v>0</v>
      </c>
      <c r="Z127" s="29">
        <v>112.624</v>
      </c>
      <c r="AA127" s="29">
        <v>112.624</v>
      </c>
      <c r="AB127" s="29">
        <v>112.624</v>
      </c>
      <c r="AC127" s="30">
        <v>9.776E-2</v>
      </c>
    </row>
    <row r="128" spans="1:29" x14ac:dyDescent="0.3">
      <c r="A128" s="27">
        <f t="shared" si="11"/>
        <v>10391</v>
      </c>
      <c r="B128" s="27" t="str">
        <f t="shared" si="12"/>
        <v>United Electric Coop</v>
      </c>
      <c r="C128" s="38">
        <f t="shared" si="13"/>
        <v>19599.588</v>
      </c>
      <c r="D128" s="38">
        <f t="shared" si="17"/>
        <v>24897.591</v>
      </c>
      <c r="E128" s="38">
        <f t="shared" si="17"/>
        <v>24596.919000000002</v>
      </c>
      <c r="F128" s="38">
        <f t="shared" si="17"/>
        <v>20503.03</v>
      </c>
      <c r="G128" s="38">
        <f t="shared" si="17"/>
        <v>18573.618999999999</v>
      </c>
      <c r="H128" s="38">
        <f t="shared" si="17"/>
        <v>20659.764000000003</v>
      </c>
      <c r="I128" s="38">
        <f t="shared" si="17"/>
        <v>16821.203000000001</v>
      </c>
      <c r="J128" s="38">
        <f t="shared" si="17"/>
        <v>22685.898999999998</v>
      </c>
      <c r="K128" s="38">
        <f t="shared" si="17"/>
        <v>28945.665000000001</v>
      </c>
      <c r="L128" s="38">
        <f t="shared" si="17"/>
        <v>22694.319</v>
      </c>
      <c r="M128" s="38">
        <f t="shared" si="17"/>
        <v>22099.746999999999</v>
      </c>
      <c r="N128" s="38">
        <f t="shared" si="17"/>
        <v>19840.871999999999</v>
      </c>
      <c r="O128" s="39">
        <f t="shared" si="14"/>
        <v>261918.21600000001</v>
      </c>
      <c r="R128" s="27">
        <v>10391</v>
      </c>
      <c r="S128" s="27" t="s">
        <v>117</v>
      </c>
      <c r="T128" s="28">
        <v>4.2448E-3</v>
      </c>
      <c r="U128" s="28">
        <v>4.2448E-3</v>
      </c>
      <c r="V128" s="28">
        <v>4.2448E-3</v>
      </c>
      <c r="W128" s="28">
        <v>4.2448E-3</v>
      </c>
      <c r="X128" s="28">
        <v>0</v>
      </c>
      <c r="Y128" s="28">
        <v>0</v>
      </c>
      <c r="Z128" s="29">
        <v>29.818000000000001</v>
      </c>
      <c r="AA128" s="29">
        <v>29.818000000000001</v>
      </c>
      <c r="AB128" s="29">
        <v>29.818000000000001</v>
      </c>
      <c r="AC128" s="30">
        <v>3.601E-2</v>
      </c>
    </row>
    <row r="129" spans="1:29" x14ac:dyDescent="0.3">
      <c r="A129" s="27">
        <f t="shared" si="11"/>
        <v>10406</v>
      </c>
      <c r="B129" s="27" t="str">
        <f t="shared" si="12"/>
        <v>U.S. DOE Albany Research Center</v>
      </c>
      <c r="C129" s="38">
        <f t="shared" si="13"/>
        <v>299.66399999999999</v>
      </c>
      <c r="D129" s="38">
        <f t="shared" si="17"/>
        <v>380.666</v>
      </c>
      <c r="E129" s="38">
        <f t="shared" si="17"/>
        <v>376.07</v>
      </c>
      <c r="F129" s="38">
        <f t="shared" si="17"/>
        <v>313.47699999999998</v>
      </c>
      <c r="G129" s="38">
        <f t="shared" si="17"/>
        <v>283.97800000000001</v>
      </c>
      <c r="H129" s="38">
        <f t="shared" si="17"/>
        <v>315.87299999999999</v>
      </c>
      <c r="I129" s="38">
        <f t="shared" si="17"/>
        <v>257.185</v>
      </c>
      <c r="J129" s="38">
        <f t="shared" si="17"/>
        <v>346.85199999999998</v>
      </c>
      <c r="K129" s="38">
        <f t="shared" si="17"/>
        <v>442.55899999999997</v>
      </c>
      <c r="L129" s="38">
        <f t="shared" si="17"/>
        <v>346.98</v>
      </c>
      <c r="M129" s="38">
        <f t="shared" si="17"/>
        <v>337.89</v>
      </c>
      <c r="N129" s="38">
        <f t="shared" si="17"/>
        <v>303.35299999999995</v>
      </c>
      <c r="O129" s="39">
        <f t="shared" si="14"/>
        <v>4004.5469999999996</v>
      </c>
      <c r="R129" s="27">
        <v>10406</v>
      </c>
      <c r="S129" s="27" t="s">
        <v>118</v>
      </c>
      <c r="T129" s="28">
        <v>6.4900000000000005E-5</v>
      </c>
      <c r="U129" s="28">
        <v>6.4900000000000005E-5</v>
      </c>
      <c r="V129" s="28">
        <v>6.4900000000000005E-5</v>
      </c>
      <c r="W129" s="28">
        <v>6.4900000000000005E-5</v>
      </c>
      <c r="X129" s="28">
        <v>0</v>
      </c>
      <c r="Y129" s="28">
        <v>0</v>
      </c>
      <c r="Z129" s="29">
        <v>0.45600000000000002</v>
      </c>
      <c r="AA129" s="29">
        <v>0.45600000000000002</v>
      </c>
      <c r="AB129" s="29">
        <v>0.45600000000000002</v>
      </c>
      <c r="AC129" s="30">
        <v>0</v>
      </c>
    </row>
    <row r="130" spans="1:29" x14ac:dyDescent="0.3">
      <c r="A130" s="27">
        <f t="shared" si="11"/>
        <v>10408</v>
      </c>
      <c r="B130" s="27" t="str">
        <f t="shared" si="12"/>
        <v>U.S. Naval Station, Everett (Jim Creek)</v>
      </c>
      <c r="C130" s="38">
        <f t="shared" si="13"/>
        <v>976.56200000000001</v>
      </c>
      <c r="D130" s="38">
        <f t="shared" si="17"/>
        <v>1240.539</v>
      </c>
      <c r="E130" s="38">
        <f t="shared" si="17"/>
        <v>1225.558</v>
      </c>
      <c r="F130" s="38">
        <f t="shared" si="17"/>
        <v>1021.577</v>
      </c>
      <c r="G130" s="38">
        <f t="shared" si="17"/>
        <v>925.44299999999998</v>
      </c>
      <c r="H130" s="38">
        <f t="shared" si="17"/>
        <v>1029.3869999999999</v>
      </c>
      <c r="I130" s="38">
        <f t="shared" si="17"/>
        <v>838.12699999999995</v>
      </c>
      <c r="J130" s="38">
        <f t="shared" si="17"/>
        <v>1130.3399999999999</v>
      </c>
      <c r="K130" s="38">
        <f t="shared" si="17"/>
        <v>1442.2370000000001</v>
      </c>
      <c r="L130" s="38">
        <f t="shared" si="17"/>
        <v>1130.759</v>
      </c>
      <c r="M130" s="38">
        <f t="shared" si="17"/>
        <v>1101.135</v>
      </c>
      <c r="N130" s="38">
        <f t="shared" si="17"/>
        <v>988.58500000000004</v>
      </c>
      <c r="O130" s="39">
        <f t="shared" si="14"/>
        <v>13050.249</v>
      </c>
      <c r="R130" s="27">
        <v>10408</v>
      </c>
      <c r="S130" s="27" t="s">
        <v>119</v>
      </c>
      <c r="T130" s="28">
        <v>2.1149999999999999E-4</v>
      </c>
      <c r="U130" s="28">
        <v>2.1139999999999999E-4</v>
      </c>
      <c r="V130" s="28">
        <v>2.1149999999999999E-4</v>
      </c>
      <c r="W130" s="28">
        <v>2.1139999999999999E-4</v>
      </c>
      <c r="X130" s="28">
        <v>0</v>
      </c>
      <c r="Y130" s="28">
        <v>0</v>
      </c>
      <c r="Z130" s="29">
        <v>1.5189999999999999</v>
      </c>
      <c r="AA130" s="29">
        <v>1.486</v>
      </c>
      <c r="AB130" s="29">
        <v>1.4850000000000001</v>
      </c>
      <c r="AC130" s="30">
        <v>0</v>
      </c>
    </row>
    <row r="131" spans="1:29" x14ac:dyDescent="0.3">
      <c r="A131" s="27">
        <f t="shared" si="11"/>
        <v>10409</v>
      </c>
      <c r="B131" s="27" t="str">
        <f t="shared" si="12"/>
        <v>U.S. Naval Submarine Base, Bangor</v>
      </c>
      <c r="C131" s="38">
        <f t="shared" si="13"/>
        <v>12825.984</v>
      </c>
      <c r="D131" s="38">
        <f t="shared" si="17"/>
        <v>16293.001</v>
      </c>
      <c r="E131" s="38">
        <f t="shared" si="17"/>
        <v>16096.24</v>
      </c>
      <c r="F131" s="38">
        <f t="shared" si="17"/>
        <v>13417.197</v>
      </c>
      <c r="G131" s="38">
        <f t="shared" si="17"/>
        <v>12154.589</v>
      </c>
      <c r="H131" s="38">
        <f t="shared" si="17"/>
        <v>13519.763999999999</v>
      </c>
      <c r="I131" s="38">
        <f t="shared" si="17"/>
        <v>11007.806</v>
      </c>
      <c r="J131" s="38">
        <f t="shared" si="17"/>
        <v>14845.668</v>
      </c>
      <c r="K131" s="38">
        <f t="shared" si="17"/>
        <v>18942.063000000002</v>
      </c>
      <c r="L131" s="38">
        <f t="shared" si="17"/>
        <v>14851.178</v>
      </c>
      <c r="M131" s="38">
        <f t="shared" si="17"/>
        <v>14462.09</v>
      </c>
      <c r="N131" s="38">
        <f t="shared" si="17"/>
        <v>12983.881000000001</v>
      </c>
      <c r="O131" s="39">
        <f t="shared" si="14"/>
        <v>171399.46099999998</v>
      </c>
      <c r="R131" s="27">
        <v>10409</v>
      </c>
      <c r="S131" s="27" t="s">
        <v>120</v>
      </c>
      <c r="T131" s="28">
        <v>2.7778E-3</v>
      </c>
      <c r="U131" s="28">
        <v>2.7777000000000001E-3</v>
      </c>
      <c r="V131" s="28">
        <v>2.7778E-3</v>
      </c>
      <c r="W131" s="28">
        <v>2.7777000000000001E-3</v>
      </c>
      <c r="X131" s="28">
        <v>0</v>
      </c>
      <c r="Y131" s="28">
        <v>0</v>
      </c>
      <c r="Z131" s="29">
        <v>20.312999999999999</v>
      </c>
      <c r="AA131" s="29">
        <v>19.513000000000002</v>
      </c>
      <c r="AB131" s="29">
        <v>19.512</v>
      </c>
      <c r="AC131" s="30">
        <v>0</v>
      </c>
    </row>
    <row r="132" spans="1:29" x14ac:dyDescent="0.3">
      <c r="A132" s="27">
        <f t="shared" si="11"/>
        <v>10426</v>
      </c>
      <c r="B132" s="27" t="str">
        <f t="shared" si="12"/>
        <v>U.S. DOE Richland Operations Office</v>
      </c>
      <c r="C132" s="38">
        <f t="shared" si="13"/>
        <v>20100.566999999999</v>
      </c>
      <c r="D132" s="38">
        <f t="shared" si="17"/>
        <v>25533.989999999998</v>
      </c>
      <c r="E132" s="38">
        <f t="shared" si="17"/>
        <v>25225.633000000002</v>
      </c>
      <c r="F132" s="38">
        <f t="shared" si="17"/>
        <v>21027.100999999999</v>
      </c>
      <c r="G132" s="38">
        <f t="shared" si="17"/>
        <v>19048.371999999999</v>
      </c>
      <c r="H132" s="38">
        <f t="shared" si="17"/>
        <v>21187.841</v>
      </c>
      <c r="I132" s="38">
        <f t="shared" si="17"/>
        <v>17251.163</v>
      </c>
      <c r="J132" s="38">
        <f t="shared" si="17"/>
        <v>23265.767</v>
      </c>
      <c r="K132" s="38">
        <f t="shared" si="17"/>
        <v>29685.535</v>
      </c>
      <c r="L132" s="38">
        <f t="shared" si="17"/>
        <v>23274.402000000002</v>
      </c>
      <c r="M132" s="38">
        <f t="shared" si="17"/>
        <v>22664.633000000002</v>
      </c>
      <c r="N132" s="38">
        <f t="shared" si="17"/>
        <v>20348.019</v>
      </c>
      <c r="O132" s="39">
        <f t="shared" si="14"/>
        <v>268613.02300000004</v>
      </c>
      <c r="R132" s="27">
        <v>10426</v>
      </c>
      <c r="S132" s="27" t="s">
        <v>121</v>
      </c>
      <c r="T132" s="28">
        <v>4.3533000000000001E-3</v>
      </c>
      <c r="U132" s="28">
        <v>4.9662999999999999E-3</v>
      </c>
      <c r="V132" s="28">
        <v>4.3533000000000001E-3</v>
      </c>
      <c r="W132" s="28">
        <v>4.9662999999999999E-3</v>
      </c>
      <c r="X132" s="28">
        <v>0</v>
      </c>
      <c r="Y132" s="28">
        <v>0</v>
      </c>
      <c r="Z132" s="29">
        <v>34.886000000000003</v>
      </c>
      <c r="AA132" s="29">
        <v>30.58</v>
      </c>
      <c r="AB132" s="29">
        <v>34.886000000000003</v>
      </c>
      <c r="AC132" s="30">
        <v>0</v>
      </c>
    </row>
    <row r="133" spans="1:29" x14ac:dyDescent="0.3">
      <c r="A133" s="27">
        <f t="shared" si="11"/>
        <v>10434</v>
      </c>
      <c r="B133" s="27" t="str">
        <f t="shared" si="12"/>
        <v>Vera Irrigation District</v>
      </c>
      <c r="C133" s="38">
        <f t="shared" si="13"/>
        <v>17755.893</v>
      </c>
      <c r="D133" s="38">
        <f t="shared" si="17"/>
        <v>22555.523999999998</v>
      </c>
      <c r="E133" s="38">
        <f t="shared" si="17"/>
        <v>22283.135000000002</v>
      </c>
      <c r="F133" s="38">
        <f t="shared" si="17"/>
        <v>18574.349999999999</v>
      </c>
      <c r="G133" s="38">
        <f t="shared" si="17"/>
        <v>16826.434000000001</v>
      </c>
      <c r="H133" s="38">
        <f t="shared" si="17"/>
        <v>18716.341</v>
      </c>
      <c r="I133" s="38">
        <f t="shared" si="17"/>
        <v>15238.865</v>
      </c>
      <c r="J133" s="38">
        <f t="shared" si="17"/>
        <v>20551.881000000001</v>
      </c>
      <c r="K133" s="38">
        <f t="shared" si="17"/>
        <v>26222.803</v>
      </c>
      <c r="L133" s="38">
        <f t="shared" si="17"/>
        <v>20559.508999999998</v>
      </c>
      <c r="M133" s="38">
        <f t="shared" si="17"/>
        <v>20020.868000000002</v>
      </c>
      <c r="N133" s="38">
        <f t="shared" si="17"/>
        <v>17974.48</v>
      </c>
      <c r="O133" s="39">
        <f t="shared" si="14"/>
        <v>237280.08300000001</v>
      </c>
      <c r="R133" s="27">
        <v>10434</v>
      </c>
      <c r="S133" s="27" t="s">
        <v>122</v>
      </c>
      <c r="T133" s="28">
        <v>3.8455E-3</v>
      </c>
      <c r="U133" s="28">
        <v>3.8455E-3</v>
      </c>
      <c r="V133" s="28">
        <v>3.8455E-3</v>
      </c>
      <c r="W133" s="28">
        <v>3.8455E-3</v>
      </c>
      <c r="X133" s="28">
        <v>0</v>
      </c>
      <c r="Y133" s="28">
        <v>0</v>
      </c>
      <c r="Z133" s="29">
        <v>27.013000000000002</v>
      </c>
      <c r="AA133" s="29">
        <v>27.013000000000002</v>
      </c>
      <c r="AB133" s="29">
        <v>27.013000000000002</v>
      </c>
      <c r="AC133" s="30">
        <v>0</v>
      </c>
    </row>
    <row r="134" spans="1:29" x14ac:dyDescent="0.3">
      <c r="A134" s="27">
        <f t="shared" si="11"/>
        <v>10436</v>
      </c>
      <c r="B134" s="27" t="str">
        <f t="shared" si="12"/>
        <v>Vigilante Elec Coop</v>
      </c>
      <c r="C134" s="38">
        <f t="shared" si="13"/>
        <v>12522.626</v>
      </c>
      <c r="D134" s="38">
        <f t="shared" si="17"/>
        <v>15907.641</v>
      </c>
      <c r="E134" s="38">
        <f t="shared" si="17"/>
        <v>15715.535</v>
      </c>
      <c r="F134" s="38">
        <f t="shared" si="17"/>
        <v>13099.855</v>
      </c>
      <c r="G134" s="38">
        <f t="shared" si="17"/>
        <v>11867.11</v>
      </c>
      <c r="H134" s="38">
        <f t="shared" si="17"/>
        <v>13199.996999999999</v>
      </c>
      <c r="I134" s="38">
        <f t="shared" si="17"/>
        <v>10747.450999999999</v>
      </c>
      <c r="J134" s="38">
        <f t="shared" si="17"/>
        <v>14494.541000000001</v>
      </c>
      <c r="K134" s="38">
        <f t="shared" si="17"/>
        <v>18494.047999999999</v>
      </c>
      <c r="L134" s="38">
        <f t="shared" si="17"/>
        <v>14499.921</v>
      </c>
      <c r="M134" s="38">
        <f t="shared" si="17"/>
        <v>14120.035</v>
      </c>
      <c r="N134" s="38">
        <f t="shared" si="17"/>
        <v>12676.788</v>
      </c>
      <c r="O134" s="39">
        <f t="shared" si="14"/>
        <v>167345.54799999998</v>
      </c>
      <c r="R134" s="27">
        <v>10436</v>
      </c>
      <c r="S134" s="27" t="s">
        <v>123</v>
      </c>
      <c r="T134" s="28">
        <v>2.7120999999999998E-3</v>
      </c>
      <c r="U134" s="28">
        <v>2.7120999999999998E-3</v>
      </c>
      <c r="V134" s="28">
        <v>2.7120999999999998E-3</v>
      </c>
      <c r="W134" s="28">
        <v>2.7120999999999998E-3</v>
      </c>
      <c r="X134" s="28">
        <v>0</v>
      </c>
      <c r="Y134" s="28">
        <v>0</v>
      </c>
      <c r="Z134" s="29">
        <v>19.050999999999998</v>
      </c>
      <c r="AA134" s="29">
        <v>19.050999999999998</v>
      </c>
      <c r="AB134" s="29">
        <v>19.050999999999998</v>
      </c>
      <c r="AC134" s="30">
        <v>7.7499999999999999E-2</v>
      </c>
    </row>
    <row r="135" spans="1:29" x14ac:dyDescent="0.3">
      <c r="A135" s="27">
        <f t="shared" si="11"/>
        <v>10440</v>
      </c>
      <c r="B135" s="27" t="str">
        <f t="shared" si="12"/>
        <v>Wahkiakum County PUD #1</v>
      </c>
      <c r="C135" s="38">
        <f t="shared" si="13"/>
        <v>3237.201</v>
      </c>
      <c r="D135" s="38">
        <f t="shared" si="17"/>
        <v>4112.2550000000001</v>
      </c>
      <c r="E135" s="38">
        <f t="shared" si="17"/>
        <v>4062.5940000000001</v>
      </c>
      <c r="F135" s="38">
        <f t="shared" si="17"/>
        <v>3386.42</v>
      </c>
      <c r="G135" s="38">
        <f t="shared" si="17"/>
        <v>3067.7449999999999</v>
      </c>
      <c r="H135" s="38">
        <f t="shared" si="17"/>
        <v>3412.3069999999998</v>
      </c>
      <c r="I135" s="38">
        <f t="shared" si="17"/>
        <v>2778.3040000000001</v>
      </c>
      <c r="J135" s="38">
        <f t="shared" si="17"/>
        <v>3746.9570000000003</v>
      </c>
      <c r="K135" s="38">
        <f t="shared" si="17"/>
        <v>4780.8629999999994</v>
      </c>
      <c r="L135" s="38">
        <f t="shared" si="17"/>
        <v>3748.348</v>
      </c>
      <c r="M135" s="38">
        <f t="shared" si="17"/>
        <v>3650.1440000000002</v>
      </c>
      <c r="N135" s="38">
        <f t="shared" si="17"/>
        <v>3277.0540000000001</v>
      </c>
      <c r="O135" s="39">
        <f t="shared" si="14"/>
        <v>43260.191999999995</v>
      </c>
      <c r="R135" s="27">
        <v>10440</v>
      </c>
      <c r="S135" s="27" t="s">
        <v>124</v>
      </c>
      <c r="T135" s="28">
        <v>7.0109999999999997E-4</v>
      </c>
      <c r="U135" s="28">
        <v>7.0049999999999995E-4</v>
      </c>
      <c r="V135" s="28">
        <v>7.0109999999999997E-4</v>
      </c>
      <c r="W135" s="28">
        <v>7.0049999999999995E-4</v>
      </c>
      <c r="X135" s="28">
        <v>0</v>
      </c>
      <c r="Y135" s="28">
        <v>0</v>
      </c>
      <c r="Z135" s="29">
        <v>4.9790000000000001</v>
      </c>
      <c r="AA135" s="29">
        <v>4.9249999999999998</v>
      </c>
      <c r="AB135" s="29">
        <v>4.9210000000000003</v>
      </c>
      <c r="AC135" s="30">
        <v>5.5E-2</v>
      </c>
    </row>
    <row r="136" spans="1:29" x14ac:dyDescent="0.3">
      <c r="A136" s="27">
        <f t="shared" si="11"/>
        <v>10442</v>
      </c>
      <c r="B136" s="27" t="str">
        <f t="shared" si="12"/>
        <v>Wasco Elec Coop</v>
      </c>
      <c r="C136" s="38">
        <f t="shared" si="13"/>
        <v>8263.6119999999992</v>
      </c>
      <c r="D136" s="38">
        <f t="shared" si="17"/>
        <v>10497.366</v>
      </c>
      <c r="E136" s="38">
        <f t="shared" si="17"/>
        <v>10370.596000000001</v>
      </c>
      <c r="F136" s="38">
        <f t="shared" si="17"/>
        <v>8644.5240000000013</v>
      </c>
      <c r="G136" s="38">
        <f t="shared" si="17"/>
        <v>7831.0419999999995</v>
      </c>
      <c r="H136" s="38">
        <f t="shared" si="17"/>
        <v>8710.6059999999998</v>
      </c>
      <c r="I136" s="38">
        <f t="shared" si="17"/>
        <v>7092.1850000000004</v>
      </c>
      <c r="J136" s="38">
        <f t="shared" si="17"/>
        <v>9564.8680000000004</v>
      </c>
      <c r="K136" s="38">
        <f t="shared" si="17"/>
        <v>12204.121999999999</v>
      </c>
      <c r="L136" s="38">
        <f t="shared" si="17"/>
        <v>9568.4189999999999</v>
      </c>
      <c r="M136" s="38">
        <f t="shared" si="17"/>
        <v>9317.7340000000004</v>
      </c>
      <c r="N136" s="38">
        <f t="shared" si="17"/>
        <v>8365.3430000000008</v>
      </c>
      <c r="O136" s="39">
        <f t="shared" si="14"/>
        <v>110430.41699999999</v>
      </c>
      <c r="R136" s="27">
        <v>10442</v>
      </c>
      <c r="S136" s="27" t="s">
        <v>125</v>
      </c>
      <c r="T136" s="28">
        <v>1.7897E-3</v>
      </c>
      <c r="U136" s="28">
        <v>1.7979999999999999E-3</v>
      </c>
      <c r="V136" s="28">
        <v>1.7897E-3</v>
      </c>
      <c r="W136" s="28">
        <v>1.7979999999999999E-3</v>
      </c>
      <c r="X136" s="28">
        <v>0</v>
      </c>
      <c r="Y136" s="28">
        <v>0</v>
      </c>
      <c r="Z136" s="29">
        <v>13.324999999999999</v>
      </c>
      <c r="AA136" s="29">
        <v>12.571999999999999</v>
      </c>
      <c r="AB136" s="29">
        <v>12.63</v>
      </c>
      <c r="AC136" s="30">
        <v>7.0000000000000007E-2</v>
      </c>
    </row>
    <row r="137" spans="1:29" x14ac:dyDescent="0.3">
      <c r="A137" s="27">
        <f t="shared" si="11"/>
        <v>10446</v>
      </c>
      <c r="B137" s="27" t="str">
        <f t="shared" si="12"/>
        <v>Wells Rural Elec Coop</v>
      </c>
      <c r="C137" s="38">
        <f t="shared" si="13"/>
        <v>61184.993000000002</v>
      </c>
      <c r="D137" s="38">
        <f t="shared" si="17"/>
        <v>77724.02900000001</v>
      </c>
      <c r="E137" s="38">
        <f t="shared" si="17"/>
        <v>76785.406000000003</v>
      </c>
      <c r="F137" s="38">
        <f t="shared" si="17"/>
        <v>64005.312999999995</v>
      </c>
      <c r="G137" s="38">
        <f t="shared" si="17"/>
        <v>57982.173999999999</v>
      </c>
      <c r="H137" s="38">
        <f t="shared" si="17"/>
        <v>64494.597000000002</v>
      </c>
      <c r="I137" s="38">
        <f t="shared" si="17"/>
        <v>52511.57</v>
      </c>
      <c r="J137" s="38">
        <f t="shared" si="17"/>
        <v>70819.68299999999</v>
      </c>
      <c r="K137" s="38">
        <f t="shared" si="17"/>
        <v>90361.099000000002</v>
      </c>
      <c r="L137" s="38">
        <f t="shared" si="17"/>
        <v>70845.967000000004</v>
      </c>
      <c r="M137" s="38">
        <f t="shared" si="17"/>
        <v>68989.864999999991</v>
      </c>
      <c r="N137" s="38">
        <f t="shared" si="17"/>
        <v>61938.222000000002</v>
      </c>
      <c r="O137" s="39">
        <f t="shared" si="14"/>
        <v>817642.91799999995</v>
      </c>
      <c r="R137" s="27">
        <v>10446</v>
      </c>
      <c r="S137" s="27" t="s">
        <v>126</v>
      </c>
      <c r="T137" s="28">
        <v>1.3251199999999999E-2</v>
      </c>
      <c r="U137" s="28">
        <v>1.32645E-2</v>
      </c>
      <c r="V137" s="28">
        <v>1.3251199999999999E-2</v>
      </c>
      <c r="W137" s="28">
        <v>1.32645E-2</v>
      </c>
      <c r="X137" s="28">
        <v>0</v>
      </c>
      <c r="Y137" s="28">
        <v>0</v>
      </c>
      <c r="Z137" s="29">
        <v>95.263999999999996</v>
      </c>
      <c r="AA137" s="29">
        <v>93.082999999999998</v>
      </c>
      <c r="AB137" s="29">
        <v>93.177000000000007</v>
      </c>
      <c r="AC137" s="30">
        <v>6.5000000000000002E-2</v>
      </c>
    </row>
    <row r="138" spans="1:29" x14ac:dyDescent="0.3">
      <c r="A138" s="27">
        <f t="shared" si="11"/>
        <v>10448</v>
      </c>
      <c r="B138" s="27" t="str">
        <f t="shared" si="12"/>
        <v>West Oregon Elec Coop</v>
      </c>
      <c r="C138" s="38">
        <f t="shared" si="13"/>
        <v>5347.777</v>
      </c>
      <c r="D138" s="38">
        <f t="shared" si="17"/>
        <v>6793.3450000000003</v>
      </c>
      <c r="E138" s="38">
        <f t="shared" si="17"/>
        <v>6711.3060000000005</v>
      </c>
      <c r="F138" s="38">
        <f t="shared" si="17"/>
        <v>5594.2829999999994</v>
      </c>
      <c r="G138" s="38">
        <f t="shared" si="17"/>
        <v>5067.84</v>
      </c>
      <c r="H138" s="38">
        <f t="shared" si="17"/>
        <v>5637.0480000000007</v>
      </c>
      <c r="I138" s="38">
        <f t="shared" si="17"/>
        <v>4589.6900000000005</v>
      </c>
      <c r="J138" s="38">
        <f t="shared" si="17"/>
        <v>6189.8809999999994</v>
      </c>
      <c r="K138" s="38">
        <f t="shared" si="17"/>
        <v>7897.8670000000002</v>
      </c>
      <c r="L138" s="38">
        <f t="shared" si="17"/>
        <v>6192.1790000000001</v>
      </c>
      <c r="M138" s="38">
        <f t="shared" si="17"/>
        <v>6029.9490000000005</v>
      </c>
      <c r="N138" s="38">
        <f t="shared" si="17"/>
        <v>5413.6109999999999</v>
      </c>
      <c r="O138" s="39">
        <f t="shared" si="14"/>
        <v>71464.776000000013</v>
      </c>
      <c r="R138" s="27">
        <v>10448</v>
      </c>
      <c r="S138" s="27" t="s">
        <v>127</v>
      </c>
      <c r="T138" s="28">
        <v>1.1582000000000001E-3</v>
      </c>
      <c r="U138" s="28">
        <v>1.1574999999999999E-3</v>
      </c>
      <c r="V138" s="28">
        <v>1.1582000000000001E-3</v>
      </c>
      <c r="W138" s="28">
        <v>1.1574999999999999E-3</v>
      </c>
      <c r="X138" s="28">
        <v>0</v>
      </c>
      <c r="Y138" s="28">
        <v>0</v>
      </c>
      <c r="Z138" s="29">
        <v>8.4369999999999994</v>
      </c>
      <c r="AA138" s="29">
        <v>8.1359999999999992</v>
      </c>
      <c r="AB138" s="29">
        <v>8.1310000000000002</v>
      </c>
      <c r="AC138" s="30">
        <v>7.0000000000000007E-2</v>
      </c>
    </row>
    <row r="139" spans="1:29" x14ac:dyDescent="0.3">
      <c r="A139" s="27">
        <f t="shared" si="11"/>
        <v>10451</v>
      </c>
      <c r="B139" s="27" t="str">
        <f t="shared" si="12"/>
        <v>Whatcom County PUD #1</v>
      </c>
      <c r="C139" s="38">
        <f t="shared" si="13"/>
        <v>17316.787</v>
      </c>
      <c r="D139" s="38">
        <f t="shared" si="17"/>
        <v>21997.720999999998</v>
      </c>
      <c r="E139" s="38">
        <f t="shared" si="17"/>
        <v>21732.069</v>
      </c>
      <c r="F139" s="38">
        <f t="shared" si="17"/>
        <v>18115.003000000001</v>
      </c>
      <c r="G139" s="38">
        <f t="shared" si="17"/>
        <v>16410.313000000002</v>
      </c>
      <c r="H139" s="38">
        <f t="shared" si="17"/>
        <v>18253.482</v>
      </c>
      <c r="I139" s="38">
        <f t="shared" si="17"/>
        <v>14862.004000000001</v>
      </c>
      <c r="J139" s="38">
        <f t="shared" si="17"/>
        <v>20043.629000000001</v>
      </c>
      <c r="K139" s="38">
        <f t="shared" si="17"/>
        <v>25574.307000000001</v>
      </c>
      <c r="L139" s="38">
        <f t="shared" si="17"/>
        <v>20051.067999999999</v>
      </c>
      <c r="M139" s="38">
        <f t="shared" si="17"/>
        <v>19525.746999999999</v>
      </c>
      <c r="N139" s="38">
        <f t="shared" si="17"/>
        <v>17529.967000000001</v>
      </c>
      <c r="O139" s="39">
        <f t="shared" si="14"/>
        <v>231412.09700000004</v>
      </c>
      <c r="R139" s="27">
        <v>10451</v>
      </c>
      <c r="S139" s="27" t="s">
        <v>128</v>
      </c>
      <c r="T139" s="28">
        <v>3.7504000000000001E-3</v>
      </c>
      <c r="U139" s="28">
        <v>3.3498E-3</v>
      </c>
      <c r="V139" s="28">
        <v>3.7504000000000001E-3</v>
      </c>
      <c r="W139" s="28">
        <v>3.3498E-3</v>
      </c>
      <c r="X139" s="28">
        <v>0</v>
      </c>
      <c r="Y139" s="28">
        <v>0</v>
      </c>
      <c r="Z139" s="29">
        <v>26.690999999999999</v>
      </c>
      <c r="AA139" s="29">
        <v>26.344999999999999</v>
      </c>
      <c r="AB139" s="29">
        <v>23.530999999999999</v>
      </c>
      <c r="AC139" s="30">
        <v>0</v>
      </c>
    </row>
    <row r="140" spans="1:29" x14ac:dyDescent="0.3">
      <c r="A140" s="27">
        <f t="shared" si="11"/>
        <v>10482</v>
      </c>
      <c r="B140" s="27" t="str">
        <f t="shared" si="12"/>
        <v>Umpqua Indian Utility Cooperative</v>
      </c>
      <c r="C140" s="38">
        <f t="shared" si="13"/>
        <v>1773.973</v>
      </c>
      <c r="D140" s="38">
        <f t="shared" si="17"/>
        <v>2253.5</v>
      </c>
      <c r="E140" s="38">
        <f t="shared" si="17"/>
        <v>2226.2849999999999</v>
      </c>
      <c r="F140" s="38">
        <f t="shared" si="17"/>
        <v>1855.7440000000001</v>
      </c>
      <c r="G140" s="38">
        <f t="shared" si="17"/>
        <v>1681.1120000000001</v>
      </c>
      <c r="H140" s="38">
        <f t="shared" si="17"/>
        <v>1869.931</v>
      </c>
      <c r="I140" s="38">
        <f t="shared" si="17"/>
        <v>1522.499</v>
      </c>
      <c r="J140" s="38">
        <f t="shared" si="17"/>
        <v>2053.3180000000002</v>
      </c>
      <c r="K140" s="38">
        <f t="shared" si="17"/>
        <v>2619.8940000000002</v>
      </c>
      <c r="L140" s="38">
        <f t="shared" si="17"/>
        <v>2054.0790000000002</v>
      </c>
      <c r="M140" s="38">
        <f t="shared" si="17"/>
        <v>2000.2639999999999</v>
      </c>
      <c r="N140" s="38">
        <f t="shared" si="17"/>
        <v>1795.8119999999999</v>
      </c>
      <c r="O140" s="39">
        <f t="shared" si="14"/>
        <v>23706.411</v>
      </c>
      <c r="R140" s="27">
        <v>10482</v>
      </c>
      <c r="S140" s="27" t="s">
        <v>129</v>
      </c>
      <c r="T140" s="28">
        <v>3.8420000000000001E-4</v>
      </c>
      <c r="U140" s="28">
        <v>3.8410000000000001E-4</v>
      </c>
      <c r="V140" s="28">
        <v>3.8420000000000001E-4</v>
      </c>
      <c r="W140" s="28">
        <v>3.8410000000000001E-4</v>
      </c>
      <c r="X140" s="28">
        <v>0</v>
      </c>
      <c r="Y140" s="28">
        <v>0</v>
      </c>
      <c r="Z140" s="29">
        <v>4.0919999999999996</v>
      </c>
      <c r="AA140" s="29">
        <v>2.6989999999999998</v>
      </c>
      <c r="AB140" s="29">
        <v>2.698</v>
      </c>
      <c r="AC140" s="30">
        <v>0</v>
      </c>
    </row>
    <row r="141" spans="1:29" x14ac:dyDescent="0.3">
      <c r="A141" s="27">
        <f t="shared" si="11"/>
        <v>10502</v>
      </c>
      <c r="B141" s="27" t="str">
        <f t="shared" si="12"/>
        <v>Yakama Power</v>
      </c>
      <c r="C141" s="38">
        <f t="shared" si="13"/>
        <v>12231.273000000001</v>
      </c>
      <c r="D141" s="38">
        <f t="shared" si="17"/>
        <v>15537.532999999999</v>
      </c>
      <c r="E141" s="38">
        <f t="shared" si="17"/>
        <v>15349.896000000001</v>
      </c>
      <c r="F141" s="38">
        <f t="shared" si="17"/>
        <v>12795.073</v>
      </c>
      <c r="G141" s="38">
        <f t="shared" si="17"/>
        <v>11591.009</v>
      </c>
      <c r="H141" s="38">
        <f t="shared" si="17"/>
        <v>12892.884</v>
      </c>
      <c r="I141" s="38">
        <f t="shared" si="17"/>
        <v>10497.4</v>
      </c>
      <c r="J141" s="38">
        <f t="shared" si="17"/>
        <v>14157.31</v>
      </c>
      <c r="K141" s="38">
        <f t="shared" si="17"/>
        <v>18063.763999999999</v>
      </c>
      <c r="L141" s="38">
        <f t="shared" si="17"/>
        <v>14162.563999999998</v>
      </c>
      <c r="M141" s="38">
        <f t="shared" si="17"/>
        <v>13791.518</v>
      </c>
      <c r="N141" s="38">
        <f t="shared" si="17"/>
        <v>12381.848</v>
      </c>
      <c r="O141" s="39">
        <f t="shared" si="14"/>
        <v>163452.07200000001</v>
      </c>
      <c r="R141" s="27">
        <v>10502</v>
      </c>
      <c r="S141" s="27" t="s">
        <v>130</v>
      </c>
      <c r="T141" s="28">
        <v>2.6489999999999999E-3</v>
      </c>
      <c r="U141" s="28">
        <v>2.6489999999999999E-3</v>
      </c>
      <c r="V141" s="28">
        <v>2.6489999999999999E-3</v>
      </c>
      <c r="W141" s="28">
        <v>2.6489999999999999E-3</v>
      </c>
      <c r="X141" s="28">
        <v>0</v>
      </c>
      <c r="Y141" s="28">
        <v>0</v>
      </c>
      <c r="Z141" s="29">
        <v>18.608000000000001</v>
      </c>
      <c r="AA141" s="29">
        <v>18.608000000000001</v>
      </c>
      <c r="AB141" s="29">
        <v>18.608000000000001</v>
      </c>
      <c r="AC141" s="30">
        <v>7.0309999999999997E-2</v>
      </c>
    </row>
    <row r="142" spans="1:29" x14ac:dyDescent="0.3">
      <c r="A142" s="27">
        <f t="shared" ref="A142:A146" si="18">R142</f>
        <v>13927</v>
      </c>
      <c r="B142" s="27" t="str">
        <f t="shared" ref="B142:B146" si="19">S142</f>
        <v>Kalispel Tribe Utility</v>
      </c>
      <c r="C142" s="38">
        <f t="shared" ref="C142:N146" si="20">ROUND(C$3*$V142, 3)+ROUND(C$4*$V142,3)</f>
        <v>1984.5230000000001</v>
      </c>
      <c r="D142" s="38">
        <f t="shared" si="20"/>
        <v>2520.9639999999999</v>
      </c>
      <c r="E142" s="38">
        <f t="shared" si="20"/>
        <v>2490.5190000000002</v>
      </c>
      <c r="F142" s="38">
        <f t="shared" si="20"/>
        <v>2076</v>
      </c>
      <c r="G142" s="38">
        <f t="shared" si="20"/>
        <v>1880.64</v>
      </c>
      <c r="H142" s="38">
        <f t="shared" si="20"/>
        <v>2091.8690000000001</v>
      </c>
      <c r="I142" s="38">
        <f t="shared" si="20"/>
        <v>1703.2019999999998</v>
      </c>
      <c r="J142" s="38">
        <f t="shared" si="20"/>
        <v>2297.0219999999999</v>
      </c>
      <c r="K142" s="38">
        <f t="shared" si="20"/>
        <v>2930.8440000000001</v>
      </c>
      <c r="L142" s="38">
        <f t="shared" si="20"/>
        <v>2297.875</v>
      </c>
      <c r="M142" s="38">
        <f t="shared" si="20"/>
        <v>2237.672</v>
      </c>
      <c r="N142" s="38">
        <f t="shared" si="20"/>
        <v>2008.9540000000002</v>
      </c>
      <c r="O142" s="39">
        <f t="shared" ref="O142:O146" si="21">SUM(C142:N142)</f>
        <v>26520.084000000003</v>
      </c>
      <c r="R142" s="27">
        <v>13927</v>
      </c>
      <c r="S142" s="27" t="s">
        <v>131</v>
      </c>
      <c r="T142" s="28">
        <v>4.2979999999999998E-4</v>
      </c>
      <c r="U142" s="28">
        <v>4.796E-4</v>
      </c>
      <c r="V142" s="28">
        <v>4.2979999999999998E-4</v>
      </c>
      <c r="W142" s="28">
        <v>4.796E-4</v>
      </c>
      <c r="X142" s="28">
        <v>0</v>
      </c>
      <c r="Y142" s="28">
        <v>0</v>
      </c>
      <c r="Z142" s="29">
        <v>4.0519999999999996</v>
      </c>
      <c r="AA142" s="29">
        <v>3.0190000000000001</v>
      </c>
      <c r="AB142" s="29">
        <v>3.3690000000000002</v>
      </c>
      <c r="AC142" s="30">
        <v>0</v>
      </c>
    </row>
    <row r="143" spans="1:29" x14ac:dyDescent="0.3">
      <c r="A143" s="27">
        <f t="shared" si="18"/>
        <v>10597</v>
      </c>
      <c r="B143" s="27" t="str">
        <f t="shared" si="19"/>
        <v>Hermiston, City of</v>
      </c>
      <c r="C143" s="38">
        <f t="shared" si="20"/>
        <v>8083.5369999999994</v>
      </c>
      <c r="D143" s="38">
        <f t="shared" si="20"/>
        <v>10268.614</v>
      </c>
      <c r="E143" s="38">
        <f t="shared" si="20"/>
        <v>10144.606</v>
      </c>
      <c r="F143" s="38">
        <f t="shared" si="20"/>
        <v>8456.146999999999</v>
      </c>
      <c r="G143" s="38">
        <f t="shared" si="20"/>
        <v>7660.3919999999998</v>
      </c>
      <c r="H143" s="38">
        <f t="shared" si="20"/>
        <v>8520.7890000000007</v>
      </c>
      <c r="I143" s="38">
        <f t="shared" si="20"/>
        <v>6937.6360000000004</v>
      </c>
      <c r="J143" s="38">
        <f t="shared" si="20"/>
        <v>9356.4369999999999</v>
      </c>
      <c r="K143" s="38">
        <f t="shared" si="20"/>
        <v>11938.177</v>
      </c>
      <c r="L143" s="38">
        <f t="shared" si="20"/>
        <v>9359.9089999999997</v>
      </c>
      <c r="M143" s="38">
        <f t="shared" si="20"/>
        <v>9114.6880000000001</v>
      </c>
      <c r="N143" s="38">
        <f t="shared" si="20"/>
        <v>8183.0510000000004</v>
      </c>
      <c r="O143" s="39">
        <f t="shared" si="21"/>
        <v>108023.98299999999</v>
      </c>
      <c r="R143" s="27">
        <v>10597</v>
      </c>
      <c r="S143" s="27" t="s">
        <v>132</v>
      </c>
      <c r="T143" s="28">
        <v>1.7507E-3</v>
      </c>
      <c r="U143" s="28">
        <v>1.7516000000000001E-3</v>
      </c>
      <c r="V143" s="28">
        <v>1.7507E-3</v>
      </c>
      <c r="W143" s="28">
        <v>1.7516000000000001E-3</v>
      </c>
      <c r="X143" s="28">
        <v>0</v>
      </c>
      <c r="Y143" s="28">
        <v>0</v>
      </c>
      <c r="Z143" s="29">
        <v>12.869</v>
      </c>
      <c r="AA143" s="29">
        <v>12.298</v>
      </c>
      <c r="AB143" s="29">
        <v>12.304</v>
      </c>
      <c r="AC143" s="30">
        <v>0</v>
      </c>
    </row>
    <row r="144" spans="1:29" x14ac:dyDescent="0.3">
      <c r="A144" s="27">
        <f t="shared" si="18"/>
        <v>10706</v>
      </c>
      <c r="B144" s="27" t="str">
        <f t="shared" si="19"/>
        <v>Port of Seattle - SETAC In'tl. Airport</v>
      </c>
      <c r="C144" s="38">
        <f t="shared" si="20"/>
        <v>11297.189999999999</v>
      </c>
      <c r="D144" s="38">
        <f t="shared" si="20"/>
        <v>14350.955000000002</v>
      </c>
      <c r="E144" s="38">
        <f t="shared" si="20"/>
        <v>14177.647999999999</v>
      </c>
      <c r="F144" s="38">
        <f t="shared" si="20"/>
        <v>11817.933000000001</v>
      </c>
      <c r="G144" s="38">
        <f t="shared" si="20"/>
        <v>10705.822</v>
      </c>
      <c r="H144" s="38">
        <f t="shared" si="20"/>
        <v>11908.275</v>
      </c>
      <c r="I144" s="38">
        <f t="shared" si="20"/>
        <v>9695.73</v>
      </c>
      <c r="J144" s="38">
        <f t="shared" si="20"/>
        <v>13076.138000000001</v>
      </c>
      <c r="K144" s="38">
        <f t="shared" si="20"/>
        <v>16684.262999999999</v>
      </c>
      <c r="L144" s="38">
        <f t="shared" si="20"/>
        <v>13080.99</v>
      </c>
      <c r="M144" s="38">
        <f t="shared" si="20"/>
        <v>12738.28</v>
      </c>
      <c r="N144" s="38">
        <f t="shared" si="20"/>
        <v>11436.266</v>
      </c>
      <c r="O144" s="39">
        <f t="shared" si="21"/>
        <v>150969.49000000002</v>
      </c>
      <c r="R144" s="27">
        <v>10706</v>
      </c>
      <c r="S144" s="27" t="s">
        <v>133</v>
      </c>
      <c r="T144" s="28">
        <v>2.4467E-3</v>
      </c>
      <c r="U144" s="28">
        <v>2.4467E-3</v>
      </c>
      <c r="V144" s="28">
        <v>2.4467E-3</v>
      </c>
      <c r="W144" s="28">
        <v>2.4467E-3</v>
      </c>
      <c r="X144" s="28">
        <v>0</v>
      </c>
      <c r="Y144" s="28">
        <v>0</v>
      </c>
      <c r="Z144" s="29">
        <v>17.187000000000001</v>
      </c>
      <c r="AA144" s="29">
        <v>17.187000000000001</v>
      </c>
      <c r="AB144" s="29">
        <v>17.187000000000001</v>
      </c>
      <c r="AC144" s="30">
        <v>0</v>
      </c>
    </row>
    <row r="145" spans="1:29" x14ac:dyDescent="0.3">
      <c r="A145" s="27">
        <f t="shared" si="18"/>
        <v>11680</v>
      </c>
      <c r="B145" s="27" t="str">
        <f t="shared" si="19"/>
        <v>Weiser, City of</v>
      </c>
      <c r="C145" s="38">
        <f t="shared" si="20"/>
        <v>4137.5769999999993</v>
      </c>
      <c r="D145" s="38">
        <f t="shared" si="20"/>
        <v>5256.0150000000003</v>
      </c>
      <c r="E145" s="38">
        <f t="shared" si="20"/>
        <v>5192.5410000000002</v>
      </c>
      <c r="F145" s="38">
        <f t="shared" si="20"/>
        <v>4328.3</v>
      </c>
      <c r="G145" s="38">
        <f t="shared" si="20"/>
        <v>3920.9900000000002</v>
      </c>
      <c r="H145" s="38">
        <f t="shared" si="20"/>
        <v>4361.3869999999997</v>
      </c>
      <c r="I145" s="38">
        <f t="shared" si="20"/>
        <v>3551.0460000000003</v>
      </c>
      <c r="J145" s="38">
        <f t="shared" si="20"/>
        <v>4789.1149999999998</v>
      </c>
      <c r="K145" s="38">
        <f t="shared" si="20"/>
        <v>6110.585</v>
      </c>
      <c r="L145" s="38">
        <f t="shared" si="20"/>
        <v>4790.8919999999998</v>
      </c>
      <c r="M145" s="38">
        <f t="shared" si="20"/>
        <v>4665.375</v>
      </c>
      <c r="N145" s="38">
        <f t="shared" si="20"/>
        <v>4188.5140000000001</v>
      </c>
      <c r="O145" s="39">
        <f t="shared" si="21"/>
        <v>55292.337</v>
      </c>
      <c r="R145" s="27">
        <v>11680</v>
      </c>
      <c r="S145" s="27" t="s">
        <v>134</v>
      </c>
      <c r="T145" s="28">
        <v>8.9610000000000004E-4</v>
      </c>
      <c r="U145" s="28">
        <v>8.9610000000000004E-4</v>
      </c>
      <c r="V145" s="28">
        <v>8.9610000000000004E-4</v>
      </c>
      <c r="W145" s="28">
        <v>8.9610000000000004E-4</v>
      </c>
      <c r="X145" s="28">
        <v>0</v>
      </c>
      <c r="Y145" s="28">
        <v>0</v>
      </c>
      <c r="Z145" s="29">
        <v>6.2949999999999999</v>
      </c>
      <c r="AA145" s="29">
        <v>6.2949999999999999</v>
      </c>
      <c r="AB145" s="29">
        <v>6.2949999999999999</v>
      </c>
      <c r="AC145" s="30">
        <v>0</v>
      </c>
    </row>
    <row r="146" spans="1:29" x14ac:dyDescent="0.3">
      <c r="A146" s="27">
        <f t="shared" si="18"/>
        <v>12026</v>
      </c>
      <c r="B146" s="27" t="str">
        <f t="shared" si="19"/>
        <v>Jefferson County PUD #1</v>
      </c>
      <c r="C146" s="38">
        <f t="shared" si="20"/>
        <v>29240.546000000002</v>
      </c>
      <c r="D146" s="38">
        <f t="shared" si="20"/>
        <v>37144.616000000002</v>
      </c>
      <c r="E146" s="38">
        <f t="shared" si="20"/>
        <v>36696.044000000002</v>
      </c>
      <c r="F146" s="38">
        <f t="shared" si="20"/>
        <v>30588.387999999999</v>
      </c>
      <c r="G146" s="38">
        <f t="shared" si="20"/>
        <v>27709.906000000003</v>
      </c>
      <c r="H146" s="38">
        <f t="shared" si="20"/>
        <v>30822.218999999997</v>
      </c>
      <c r="I146" s="38">
        <f t="shared" si="20"/>
        <v>25095.483</v>
      </c>
      <c r="J146" s="38">
        <f t="shared" si="20"/>
        <v>33845.002</v>
      </c>
      <c r="K146" s="38">
        <f t="shared" si="20"/>
        <v>43183.92</v>
      </c>
      <c r="L146" s="38">
        <f t="shared" si="20"/>
        <v>33857.562999999995</v>
      </c>
      <c r="M146" s="38">
        <f t="shared" si="20"/>
        <v>32970.523999999998</v>
      </c>
      <c r="N146" s="38">
        <f t="shared" si="20"/>
        <v>29600.517</v>
      </c>
      <c r="O146" s="39">
        <f t="shared" si="21"/>
        <v>390754.728</v>
      </c>
      <c r="R146" s="27">
        <v>12026</v>
      </c>
      <c r="S146" s="27" t="s">
        <v>135</v>
      </c>
      <c r="T146" s="28">
        <v>6.3328000000000004E-3</v>
      </c>
      <c r="U146" s="28">
        <v>6.3601999999999999E-3</v>
      </c>
      <c r="V146" s="28">
        <v>6.3328000000000004E-3</v>
      </c>
      <c r="W146" s="28">
        <v>6.3601999999999999E-3</v>
      </c>
      <c r="X146" s="28">
        <v>0</v>
      </c>
      <c r="Y146" s="28">
        <v>0</v>
      </c>
      <c r="Z146" s="29">
        <v>44.933999999999997</v>
      </c>
      <c r="AA146" s="29">
        <v>44.484999999999999</v>
      </c>
      <c r="AB146" s="29">
        <v>44.677</v>
      </c>
      <c r="AC146" s="30">
        <v>0</v>
      </c>
    </row>
    <row r="147" spans="1:29" x14ac:dyDescent="0.3">
      <c r="A147" s="27"/>
      <c r="B147" s="27"/>
      <c r="R147" s="27">
        <v>10298</v>
      </c>
      <c r="S147" s="27" t="s">
        <v>171</v>
      </c>
      <c r="T147" s="28">
        <v>7.4377399999999996E-2</v>
      </c>
      <c r="U147" s="28">
        <v>7.4413000000000007E-2</v>
      </c>
      <c r="V147" s="28">
        <v>7.4377399999999996E-2</v>
      </c>
      <c r="W147" s="28">
        <v>7.4413000000000007E-2</v>
      </c>
      <c r="X147" s="28">
        <v>0</v>
      </c>
      <c r="Y147" s="28">
        <v>0</v>
      </c>
      <c r="Z147" s="29">
        <v>527.35599999999999</v>
      </c>
      <c r="AA147" s="29">
        <v>522.46500000000003</v>
      </c>
      <c r="AB147" s="29">
        <v>522.71500000000003</v>
      </c>
      <c r="AC147" s="30"/>
    </row>
    <row r="148" spans="1:29" x14ac:dyDescent="0.3">
      <c r="R148" s="27"/>
      <c r="S148" s="27"/>
      <c r="AC148" s="30"/>
    </row>
    <row r="149" spans="1:29" x14ac:dyDescent="0.3">
      <c r="R149" s="27"/>
      <c r="AC149" s="30"/>
    </row>
  </sheetData>
  <pageMargins left="0.25" right="0.25" top="0.75" bottom="0.75" header="0.3" footer="0.3"/>
  <pageSetup scale="71" orientation="landscape" r:id="rId1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4"/>
  <sheetViews>
    <sheetView view="pageBreakPreview" zoomScale="110" zoomScaleNormal="100" zoomScaleSheetLayoutView="110" workbookViewId="0">
      <selection activeCell="I18" sqref="I18"/>
    </sheetView>
  </sheetViews>
  <sheetFormatPr defaultRowHeight="14.4" x14ac:dyDescent="0.3"/>
  <cols>
    <col min="1" max="1" width="3.88671875" style="24" customWidth="1"/>
    <col min="2" max="2" width="6" style="23" bestFit="1" customWidth="1"/>
    <col min="3" max="3" width="26.5546875" style="23" customWidth="1"/>
    <col min="4" max="4" width="10.6640625" style="23" customWidth="1"/>
    <col min="5" max="14" width="10.6640625" customWidth="1"/>
    <col min="15" max="15" width="8" bestFit="1" customWidth="1"/>
    <col min="16" max="16" width="11.88671875" bestFit="1" customWidth="1"/>
  </cols>
  <sheetData>
    <row r="1" spans="1:16" x14ac:dyDescent="0.3">
      <c r="A1" s="41" t="s">
        <v>180</v>
      </c>
      <c r="B1" s="22"/>
    </row>
    <row r="2" spans="1:16" x14ac:dyDescent="0.3">
      <c r="A2" s="22" t="s">
        <v>178</v>
      </c>
      <c r="B2" s="22"/>
      <c r="D2" s="33"/>
      <c r="E2" s="37"/>
      <c r="F2" s="37"/>
      <c r="G2" s="37"/>
      <c r="H2" s="37"/>
    </row>
    <row r="3" spans="1:16" x14ac:dyDescent="0.3">
      <c r="A3" s="22"/>
      <c r="B3" s="22"/>
      <c r="D3" s="33"/>
      <c r="E3" s="37"/>
      <c r="F3" s="37"/>
      <c r="G3" s="37"/>
      <c r="H3" s="37"/>
    </row>
    <row r="4" spans="1:16" x14ac:dyDescent="0.3">
      <c r="B4" s="25" t="s">
        <v>0</v>
      </c>
      <c r="C4" s="25" t="s">
        <v>1</v>
      </c>
      <c r="D4" s="26">
        <v>43800</v>
      </c>
      <c r="E4" s="26">
        <v>43831</v>
      </c>
      <c r="F4" s="26">
        <v>43862</v>
      </c>
      <c r="G4" s="26">
        <v>43891</v>
      </c>
      <c r="H4" s="26">
        <v>43922</v>
      </c>
      <c r="I4" s="26">
        <v>43952</v>
      </c>
      <c r="J4" s="26">
        <v>43983</v>
      </c>
      <c r="K4" s="26">
        <v>44013</v>
      </c>
      <c r="L4" s="26">
        <v>44044</v>
      </c>
      <c r="M4" s="26">
        <v>44075</v>
      </c>
      <c r="N4" s="26" t="s">
        <v>138</v>
      </c>
    </row>
    <row r="5" spans="1:16" x14ac:dyDescent="0.3">
      <c r="B5" s="27">
        <f>'Sum of Billing Determinants'!A13</f>
        <v>10005</v>
      </c>
      <c r="C5" s="27" t="str">
        <f>'Sum of Billing Determinants'!B13</f>
        <v>Alder Mutual</v>
      </c>
      <c r="D5" s="31">
        <f>ROUND('Sum of Billing Determinants'!E13*'Rate Calculations'!$G$9*(1-'Sum of Billing Determinants'!$AC13), 0)</f>
        <v>352</v>
      </c>
      <c r="E5" s="31">
        <f>ROUND('Sum of Billing Determinants'!F13*'Rate Calculations'!$G$9*(1-'Sum of Billing Determinants'!$AC13), 0)</f>
        <v>294</v>
      </c>
      <c r="F5" s="31">
        <f>ROUND('Sum of Billing Determinants'!G13*'Rate Calculations'!$G$9*(1-'Sum of Billing Determinants'!$AC13), 0)</f>
        <v>266</v>
      </c>
      <c r="G5" s="31">
        <f>ROUND('Sum of Billing Determinants'!H13*'Rate Calculations'!$G$9*(1-'Sum of Billing Determinants'!$AC13), 0)</f>
        <v>296</v>
      </c>
      <c r="H5" s="31">
        <f>ROUND('Sum of Billing Determinants'!I13*'Rate Calculations'!$G$9*(1-'Sum of Billing Determinants'!$AC13), 0)</f>
        <v>241</v>
      </c>
      <c r="I5" s="31">
        <f>ROUND('Sum of Billing Determinants'!J13*'Rate Calculations'!$G$9*(1-'Sum of Billing Determinants'!$AC13), 0)</f>
        <v>325</v>
      </c>
      <c r="J5" s="31">
        <f>ROUND('Sum of Billing Determinants'!K13*'Rate Calculations'!$G$9*(1-'Sum of Billing Determinants'!$AC13), 0)</f>
        <v>415</v>
      </c>
      <c r="K5" s="31">
        <f>ROUND('Sum of Billing Determinants'!L13*'Rate Calculations'!$G$9*(1-'Sum of Billing Determinants'!$AC13), 0)</f>
        <v>325</v>
      </c>
      <c r="L5" s="31">
        <f>ROUND('Sum of Billing Determinants'!M13*'Rate Calculations'!$G$9*(1-'Sum of Billing Determinants'!$AC13), 0)</f>
        <v>317</v>
      </c>
      <c r="M5" s="31">
        <f>ROUND('Sum of Billing Determinants'!N13*'Rate Calculations'!$G$9*(1-'Sum of Billing Determinants'!$AC13), 0)</f>
        <v>284</v>
      </c>
      <c r="N5" s="31">
        <f>SUM(D5:M5)</f>
        <v>3115</v>
      </c>
      <c r="P5" s="13"/>
    </row>
    <row r="6" spans="1:16" x14ac:dyDescent="0.3">
      <c r="B6" s="27">
        <f>'Sum of Billing Determinants'!A14</f>
        <v>10015</v>
      </c>
      <c r="C6" s="27" t="str">
        <f>'Sum of Billing Determinants'!B14</f>
        <v>Asotin County PUD #1</v>
      </c>
      <c r="D6" s="31">
        <f>ROUND('Sum of Billing Determinants'!E14*'Rate Calculations'!$G$9*(1-'Sum of Billing Determinants'!$AC14), 0)</f>
        <v>381</v>
      </c>
      <c r="E6" s="31">
        <f>ROUND('Sum of Billing Determinants'!F14*'Rate Calculations'!$G$9*(1-'Sum of Billing Determinants'!$AC14), 0)</f>
        <v>317</v>
      </c>
      <c r="F6" s="31">
        <f>ROUND('Sum of Billing Determinants'!G14*'Rate Calculations'!$G$9*(1-'Sum of Billing Determinants'!$AC14), 0)</f>
        <v>287</v>
      </c>
      <c r="G6" s="31">
        <f>ROUND('Sum of Billing Determinants'!H14*'Rate Calculations'!$G$9*(1-'Sum of Billing Determinants'!$AC14), 0)</f>
        <v>320</v>
      </c>
      <c r="H6" s="31">
        <f>ROUND('Sum of Billing Determinants'!I14*'Rate Calculations'!$G$9*(1-'Sum of Billing Determinants'!$AC14), 0)</f>
        <v>260</v>
      </c>
      <c r="I6" s="31">
        <f>ROUND('Sum of Billing Determinants'!J14*'Rate Calculations'!$G$9*(1-'Sum of Billing Determinants'!$AC14), 0)</f>
        <v>351</v>
      </c>
      <c r="J6" s="31">
        <f>ROUND('Sum of Billing Determinants'!K14*'Rate Calculations'!$G$9*(1-'Sum of Billing Determinants'!$AC14), 0)</f>
        <v>448</v>
      </c>
      <c r="K6" s="31">
        <f>ROUND('Sum of Billing Determinants'!L14*'Rate Calculations'!$G$9*(1-'Sum of Billing Determinants'!$AC14), 0)</f>
        <v>351</v>
      </c>
      <c r="L6" s="31">
        <f>ROUND('Sum of Billing Determinants'!M14*'Rate Calculations'!$G$9*(1-'Sum of Billing Determinants'!$AC14), 0)</f>
        <v>342</v>
      </c>
      <c r="M6" s="31">
        <f>ROUND('Sum of Billing Determinants'!N14*'Rate Calculations'!$G$9*(1-'Sum of Billing Determinants'!$AC14), 0)</f>
        <v>307</v>
      </c>
      <c r="N6" s="31">
        <f t="shared" ref="N6:N69" si="0">SUM(D6:M6)</f>
        <v>3364</v>
      </c>
      <c r="P6" s="40"/>
    </row>
    <row r="7" spans="1:16" x14ac:dyDescent="0.3">
      <c r="B7" s="27">
        <f>'Sum of Billing Determinants'!A15</f>
        <v>10024</v>
      </c>
      <c r="C7" s="27" t="str">
        <f>'Sum of Billing Determinants'!B15</f>
        <v>Benton County PUD #1</v>
      </c>
      <c r="D7" s="31">
        <f>ROUND('Sum of Billing Determinants'!E15*'Rate Calculations'!$G$9*(1-'Sum of Billing Determinants'!$AC15), 0)</f>
        <v>69574</v>
      </c>
      <c r="E7" s="31">
        <f>ROUND('Sum of Billing Determinants'!F15*'Rate Calculations'!$G$9*(1-'Sum of Billing Determinants'!$AC15), 0)</f>
        <v>57994</v>
      </c>
      <c r="F7" s="31">
        <f>ROUND('Sum of Billing Determinants'!G15*'Rate Calculations'!$G$9*(1-'Sum of Billing Determinants'!$AC15), 0)</f>
        <v>52536</v>
      </c>
      <c r="G7" s="31">
        <f>ROUND('Sum of Billing Determinants'!H15*'Rate Calculations'!$G$9*(1-'Sum of Billing Determinants'!$AC15), 0)</f>
        <v>58437</v>
      </c>
      <c r="H7" s="31">
        <f>ROUND('Sum of Billing Determinants'!I15*'Rate Calculations'!$G$9*(1-'Sum of Billing Determinants'!$AC15), 0)</f>
        <v>47580</v>
      </c>
      <c r="I7" s="31">
        <f>ROUND('Sum of Billing Determinants'!J15*'Rate Calculations'!$G$9*(1-'Sum of Billing Determinants'!$AC15), 0)</f>
        <v>64168</v>
      </c>
      <c r="J7" s="31">
        <f>ROUND('Sum of Billing Determinants'!K15*'Rate Calculations'!$G$9*(1-'Sum of Billing Determinants'!$AC15), 0)</f>
        <v>81874</v>
      </c>
      <c r="K7" s="31">
        <f>ROUND('Sum of Billing Determinants'!L15*'Rate Calculations'!$G$9*(1-'Sum of Billing Determinants'!$AC15), 0)</f>
        <v>64192</v>
      </c>
      <c r="L7" s="31">
        <f>ROUND('Sum of Billing Determinants'!M15*'Rate Calculations'!$G$9*(1-'Sum of Billing Determinants'!$AC15), 0)</f>
        <v>62510</v>
      </c>
      <c r="M7" s="31">
        <f>ROUND('Sum of Billing Determinants'!N15*'Rate Calculations'!$G$9*(1-'Sum of Billing Determinants'!$AC15), 0)</f>
        <v>56121</v>
      </c>
      <c r="N7" s="31">
        <f t="shared" si="0"/>
        <v>614986</v>
      </c>
    </row>
    <row r="8" spans="1:16" x14ac:dyDescent="0.3">
      <c r="B8" s="27">
        <f>'Sum of Billing Determinants'!A16</f>
        <v>10025</v>
      </c>
      <c r="C8" s="27" t="str">
        <f>'Sum of Billing Determinants'!B16</f>
        <v>Benton REA</v>
      </c>
      <c r="D8" s="31">
        <f>ROUND('Sum of Billing Determinants'!E16*'Rate Calculations'!$G$9*(1-'Sum of Billing Determinants'!$AC16), 0)</f>
        <v>36986</v>
      </c>
      <c r="E8" s="31">
        <f>ROUND('Sum of Billing Determinants'!F16*'Rate Calculations'!$G$9*(1-'Sum of Billing Determinants'!$AC16), 0)</f>
        <v>30830</v>
      </c>
      <c r="F8" s="31">
        <f>ROUND('Sum of Billing Determinants'!G16*'Rate Calculations'!$G$9*(1-'Sum of Billing Determinants'!$AC16), 0)</f>
        <v>27929</v>
      </c>
      <c r="G8" s="31">
        <f>ROUND('Sum of Billing Determinants'!H16*'Rate Calculations'!$G$9*(1-'Sum of Billing Determinants'!$AC16), 0)</f>
        <v>31065</v>
      </c>
      <c r="H8" s="31">
        <f>ROUND('Sum of Billing Determinants'!I16*'Rate Calculations'!$G$9*(1-'Sum of Billing Determinants'!$AC16), 0)</f>
        <v>25293</v>
      </c>
      <c r="I8" s="31">
        <f>ROUND('Sum of Billing Determinants'!J16*'Rate Calculations'!$G$9*(1-'Sum of Billing Determinants'!$AC16), 0)</f>
        <v>34112</v>
      </c>
      <c r="J8" s="31">
        <f>ROUND('Sum of Billing Determinants'!K16*'Rate Calculations'!$G$9*(1-'Sum of Billing Determinants'!$AC16), 0)</f>
        <v>43525</v>
      </c>
      <c r="K8" s="31">
        <f>ROUND('Sum of Billing Determinants'!L16*'Rate Calculations'!$G$9*(1-'Sum of Billing Determinants'!$AC16), 0)</f>
        <v>34125</v>
      </c>
      <c r="L8" s="31">
        <f>ROUND('Sum of Billing Determinants'!M16*'Rate Calculations'!$G$9*(1-'Sum of Billing Determinants'!$AC16), 0)</f>
        <v>33231</v>
      </c>
      <c r="M8" s="31">
        <f>ROUND('Sum of Billing Determinants'!N16*'Rate Calculations'!$G$9*(1-'Sum of Billing Determinants'!$AC16), 0)</f>
        <v>29834</v>
      </c>
      <c r="N8" s="31">
        <f t="shared" si="0"/>
        <v>326930</v>
      </c>
    </row>
    <row r="9" spans="1:16" x14ac:dyDescent="0.3">
      <c r="B9" s="27">
        <f>'Sum of Billing Determinants'!A17</f>
        <v>10027</v>
      </c>
      <c r="C9" s="27" t="str">
        <f>'Sum of Billing Determinants'!B17</f>
        <v>Big Bend Elec Coop</v>
      </c>
      <c r="D9" s="31">
        <f>ROUND('Sum of Billing Determinants'!E17*'Rate Calculations'!$G$9*(1-'Sum of Billing Determinants'!$AC17), 0)</f>
        <v>37623</v>
      </c>
      <c r="E9" s="31">
        <f>ROUND('Sum of Billing Determinants'!F17*'Rate Calculations'!$G$9*(1-'Sum of Billing Determinants'!$AC17), 0)</f>
        <v>31361</v>
      </c>
      <c r="F9" s="31">
        <f>ROUND('Sum of Billing Determinants'!G17*'Rate Calculations'!$G$9*(1-'Sum of Billing Determinants'!$AC17), 0)</f>
        <v>28410</v>
      </c>
      <c r="G9" s="31">
        <f>ROUND('Sum of Billing Determinants'!H17*'Rate Calculations'!$G$9*(1-'Sum of Billing Determinants'!$AC17), 0)</f>
        <v>31600</v>
      </c>
      <c r="H9" s="31">
        <f>ROUND('Sum of Billing Determinants'!I17*'Rate Calculations'!$G$9*(1-'Sum of Billing Determinants'!$AC17), 0)</f>
        <v>25729</v>
      </c>
      <c r="I9" s="31">
        <f>ROUND('Sum of Billing Determinants'!J17*'Rate Calculations'!$G$9*(1-'Sum of Billing Determinants'!$AC17), 0)</f>
        <v>34700</v>
      </c>
      <c r="J9" s="31">
        <f>ROUND('Sum of Billing Determinants'!K17*'Rate Calculations'!$G$9*(1-'Sum of Billing Determinants'!$AC17), 0)</f>
        <v>44274</v>
      </c>
      <c r="K9" s="31">
        <f>ROUND('Sum of Billing Determinants'!L17*'Rate Calculations'!$G$9*(1-'Sum of Billing Determinants'!$AC17), 0)</f>
        <v>34712</v>
      </c>
      <c r="L9" s="31">
        <f>ROUND('Sum of Billing Determinants'!M17*'Rate Calculations'!$G$9*(1-'Sum of Billing Determinants'!$AC17), 0)</f>
        <v>33803</v>
      </c>
      <c r="M9" s="31">
        <f>ROUND('Sum of Billing Determinants'!N17*'Rate Calculations'!$G$9*(1-'Sum of Billing Determinants'!$AC17), 0)</f>
        <v>30348</v>
      </c>
      <c r="N9" s="31">
        <f t="shared" si="0"/>
        <v>332560</v>
      </c>
    </row>
    <row r="10" spans="1:16" x14ac:dyDescent="0.3">
      <c r="B10" s="27">
        <f>'Sum of Billing Determinants'!A18</f>
        <v>10029</v>
      </c>
      <c r="C10" s="27" t="str">
        <f>'Sum of Billing Determinants'!B18</f>
        <v>Blachly Lane Elec Coop</v>
      </c>
      <c r="D10" s="31">
        <f>ROUND('Sum of Billing Determinants'!E18*'Rate Calculations'!$G$9*(1-'Sum of Billing Determinants'!$AC18), 0)</f>
        <v>10789</v>
      </c>
      <c r="E10" s="31">
        <f>ROUND('Sum of Billing Determinants'!F18*'Rate Calculations'!$G$9*(1-'Sum of Billing Determinants'!$AC18), 0)</f>
        <v>8993</v>
      </c>
      <c r="F10" s="31">
        <f>ROUND('Sum of Billing Determinants'!G18*'Rate Calculations'!$G$9*(1-'Sum of Billing Determinants'!$AC18), 0)</f>
        <v>8147</v>
      </c>
      <c r="G10" s="31">
        <f>ROUND('Sum of Billing Determinants'!H18*'Rate Calculations'!$G$9*(1-'Sum of Billing Determinants'!$AC18), 0)</f>
        <v>9062</v>
      </c>
      <c r="H10" s="31">
        <f>ROUND('Sum of Billing Determinants'!I18*'Rate Calculations'!$G$9*(1-'Sum of Billing Determinants'!$AC18), 0)</f>
        <v>7378</v>
      </c>
      <c r="I10" s="31">
        <f>ROUND('Sum of Billing Determinants'!J18*'Rate Calculations'!$G$9*(1-'Sum of Billing Determinants'!$AC18), 0)</f>
        <v>9951</v>
      </c>
      <c r="J10" s="31">
        <f>ROUND('Sum of Billing Determinants'!K18*'Rate Calculations'!$G$9*(1-'Sum of Billing Determinants'!$AC18), 0)</f>
        <v>12697</v>
      </c>
      <c r="K10" s="31">
        <f>ROUND('Sum of Billing Determinants'!L18*'Rate Calculations'!$G$9*(1-'Sum of Billing Determinants'!$AC18), 0)</f>
        <v>9954</v>
      </c>
      <c r="L10" s="31">
        <f>ROUND('Sum of Billing Determinants'!M18*'Rate Calculations'!$G$9*(1-'Sum of Billing Determinants'!$AC18), 0)</f>
        <v>9694</v>
      </c>
      <c r="M10" s="31">
        <f>ROUND('Sum of Billing Determinants'!N18*'Rate Calculations'!$G$9*(1-'Sum of Billing Determinants'!$AC18), 0)</f>
        <v>8703</v>
      </c>
      <c r="N10" s="31">
        <f t="shared" si="0"/>
        <v>95368</v>
      </c>
    </row>
    <row r="11" spans="1:16" x14ac:dyDescent="0.3">
      <c r="B11" s="27">
        <f>'Sum of Billing Determinants'!A19</f>
        <v>10044</v>
      </c>
      <c r="C11" s="27" t="str">
        <f>'Sum of Billing Determinants'!B19</f>
        <v>Canby, City of</v>
      </c>
      <c r="D11" s="31">
        <f>ROUND('Sum of Billing Determinants'!E19*'Rate Calculations'!$G$9*(1-'Sum of Billing Determinants'!$AC19), 0)</f>
        <v>13498</v>
      </c>
      <c r="E11" s="31">
        <f>ROUND('Sum of Billing Determinants'!F19*'Rate Calculations'!$G$9*(1-'Sum of Billing Determinants'!$AC19), 0)</f>
        <v>11252</v>
      </c>
      <c r="F11" s="31">
        <f>ROUND('Sum of Billing Determinants'!G19*'Rate Calculations'!$G$9*(1-'Sum of Billing Determinants'!$AC19), 0)</f>
        <v>10193</v>
      </c>
      <c r="G11" s="31">
        <f>ROUND('Sum of Billing Determinants'!H19*'Rate Calculations'!$G$9*(1-'Sum of Billing Determinants'!$AC19), 0)</f>
        <v>11338</v>
      </c>
      <c r="H11" s="31">
        <f>ROUND('Sum of Billing Determinants'!I19*'Rate Calculations'!$G$9*(1-'Sum of Billing Determinants'!$AC19), 0)</f>
        <v>9231</v>
      </c>
      <c r="I11" s="31">
        <f>ROUND('Sum of Billing Determinants'!J19*'Rate Calculations'!$G$9*(1-'Sum of Billing Determinants'!$AC19), 0)</f>
        <v>12450</v>
      </c>
      <c r="J11" s="31">
        <f>ROUND('Sum of Billing Determinants'!K19*'Rate Calculations'!$G$9*(1-'Sum of Billing Determinants'!$AC19), 0)</f>
        <v>15885</v>
      </c>
      <c r="K11" s="31">
        <f>ROUND('Sum of Billing Determinants'!L19*'Rate Calculations'!$G$9*(1-'Sum of Billing Determinants'!$AC19), 0)</f>
        <v>12454</v>
      </c>
      <c r="L11" s="31">
        <f>ROUND('Sum of Billing Determinants'!M19*'Rate Calculations'!$G$9*(1-'Sum of Billing Determinants'!$AC19), 0)</f>
        <v>12128</v>
      </c>
      <c r="M11" s="31">
        <f>ROUND('Sum of Billing Determinants'!N19*'Rate Calculations'!$G$9*(1-'Sum of Billing Determinants'!$AC19), 0)</f>
        <v>10888</v>
      </c>
      <c r="N11" s="31">
        <f t="shared" si="0"/>
        <v>119317</v>
      </c>
    </row>
    <row r="12" spans="1:16" x14ac:dyDescent="0.3">
      <c r="B12" s="27">
        <f>'Sum of Billing Determinants'!A20</f>
        <v>10046</v>
      </c>
      <c r="C12" s="27" t="str">
        <f>'Sum of Billing Determinants'!B20</f>
        <v>Central Electric Coop</v>
      </c>
      <c r="D12" s="31">
        <f>ROUND('Sum of Billing Determinants'!E20*'Rate Calculations'!$G$9*(1-'Sum of Billing Determinants'!$AC20), 0)</f>
        <v>50467</v>
      </c>
      <c r="E12" s="31">
        <f>ROUND('Sum of Billing Determinants'!F20*'Rate Calculations'!$G$9*(1-'Sum of Billing Determinants'!$AC20), 0)</f>
        <v>42067</v>
      </c>
      <c r="F12" s="31">
        <f>ROUND('Sum of Billing Determinants'!G20*'Rate Calculations'!$G$9*(1-'Sum of Billing Determinants'!$AC20), 0)</f>
        <v>38109</v>
      </c>
      <c r="G12" s="31">
        <f>ROUND('Sum of Billing Determinants'!H20*'Rate Calculations'!$G$9*(1-'Sum of Billing Determinants'!$AC20), 0)</f>
        <v>42389</v>
      </c>
      <c r="H12" s="31">
        <f>ROUND('Sum of Billing Determinants'!I20*'Rate Calculations'!$G$9*(1-'Sum of Billing Determinants'!$AC20), 0)</f>
        <v>34513</v>
      </c>
      <c r="I12" s="31">
        <f>ROUND('Sum of Billing Determinants'!J20*'Rate Calculations'!$G$9*(1-'Sum of Billing Determinants'!$AC20), 0)</f>
        <v>46546</v>
      </c>
      <c r="J12" s="31">
        <f>ROUND('Sum of Billing Determinants'!K20*'Rate Calculations'!$G$9*(1-'Sum of Billing Determinants'!$AC20), 0)</f>
        <v>59390</v>
      </c>
      <c r="K12" s="31">
        <f>ROUND('Sum of Billing Determinants'!L20*'Rate Calculations'!$G$9*(1-'Sum of Billing Determinants'!$AC20), 0)</f>
        <v>46563</v>
      </c>
      <c r="L12" s="31">
        <f>ROUND('Sum of Billing Determinants'!M20*'Rate Calculations'!$G$9*(1-'Sum of Billing Determinants'!$AC20), 0)</f>
        <v>45343</v>
      </c>
      <c r="M12" s="31">
        <f>ROUND('Sum of Billing Determinants'!N20*'Rate Calculations'!$G$9*(1-'Sum of Billing Determinants'!$AC20), 0)</f>
        <v>40709</v>
      </c>
      <c r="N12" s="31">
        <f t="shared" si="0"/>
        <v>446096</v>
      </c>
    </row>
    <row r="13" spans="1:16" x14ac:dyDescent="0.3">
      <c r="B13" s="27">
        <f>'Sum of Billing Determinants'!A21</f>
        <v>10047</v>
      </c>
      <c r="C13" s="27" t="str">
        <f>'Sum of Billing Determinants'!B21</f>
        <v>Central Lincoln PUD</v>
      </c>
      <c r="D13" s="31">
        <f>ROUND('Sum of Billing Determinants'!E21*'Rate Calculations'!$G$9*(1-'Sum of Billing Determinants'!$AC21), 0)</f>
        <v>103034</v>
      </c>
      <c r="E13" s="31">
        <f>ROUND('Sum of Billing Determinants'!F21*'Rate Calculations'!$G$9*(1-'Sum of Billing Determinants'!$AC21), 0)</f>
        <v>85885</v>
      </c>
      <c r="F13" s="31">
        <f>ROUND('Sum of Billing Determinants'!G21*'Rate Calculations'!$G$9*(1-'Sum of Billing Determinants'!$AC21), 0)</f>
        <v>77803</v>
      </c>
      <c r="G13" s="31">
        <f>ROUND('Sum of Billing Determinants'!H21*'Rate Calculations'!$G$9*(1-'Sum of Billing Determinants'!$AC21), 0)</f>
        <v>86541</v>
      </c>
      <c r="H13" s="31">
        <f>ROUND('Sum of Billing Determinants'!I21*'Rate Calculations'!$G$9*(1-'Sum of Billing Determinants'!$AC21), 0)</f>
        <v>70462</v>
      </c>
      <c r="I13" s="31">
        <f>ROUND('Sum of Billing Determinants'!J21*'Rate Calculations'!$G$9*(1-'Sum of Billing Determinants'!$AC21), 0)</f>
        <v>95029</v>
      </c>
      <c r="J13" s="31">
        <f>ROUND('Sum of Billing Determinants'!K21*'Rate Calculations'!$G$9*(1-'Sum of Billing Determinants'!$AC21), 0)</f>
        <v>121250</v>
      </c>
      <c r="K13" s="31">
        <f>ROUND('Sum of Billing Determinants'!L21*'Rate Calculations'!$G$9*(1-'Sum of Billing Determinants'!$AC21), 0)</f>
        <v>95064</v>
      </c>
      <c r="L13" s="31">
        <f>ROUND('Sum of Billing Determinants'!M21*'Rate Calculations'!$G$9*(1-'Sum of Billing Determinants'!$AC21), 0)</f>
        <v>92573</v>
      </c>
      <c r="M13" s="31">
        <f>ROUND('Sum of Billing Determinants'!N21*'Rate Calculations'!$G$9*(1-'Sum of Billing Determinants'!$AC21), 0)</f>
        <v>83111</v>
      </c>
      <c r="N13" s="31">
        <f>SUM(D13:M13)</f>
        <v>910752</v>
      </c>
    </row>
    <row r="14" spans="1:16" x14ac:dyDescent="0.3">
      <c r="B14" s="27">
        <f>'Sum of Billing Determinants'!A22</f>
        <v>10055</v>
      </c>
      <c r="C14" s="27" t="str">
        <f>'Sum of Billing Determinants'!B22</f>
        <v>Albion, City of</v>
      </c>
      <c r="D14" s="31">
        <f>ROUND('Sum of Billing Determinants'!E22*'Rate Calculations'!$G$9*(1-'Sum of Billing Determinants'!$AC22), 0)</f>
        <v>257</v>
      </c>
      <c r="E14" s="31">
        <f>ROUND('Sum of Billing Determinants'!F22*'Rate Calculations'!$G$9*(1-'Sum of Billing Determinants'!$AC22), 0)</f>
        <v>214</v>
      </c>
      <c r="F14" s="31">
        <f>ROUND('Sum of Billing Determinants'!G22*'Rate Calculations'!$G$9*(1-'Sum of Billing Determinants'!$AC22), 0)</f>
        <v>194</v>
      </c>
      <c r="G14" s="31">
        <f>ROUND('Sum of Billing Determinants'!H22*'Rate Calculations'!$G$9*(1-'Sum of Billing Determinants'!$AC22), 0)</f>
        <v>216</v>
      </c>
      <c r="H14" s="31">
        <f>ROUND('Sum of Billing Determinants'!I22*'Rate Calculations'!$G$9*(1-'Sum of Billing Determinants'!$AC22), 0)</f>
        <v>176</v>
      </c>
      <c r="I14" s="31">
        <f>ROUND('Sum of Billing Determinants'!J22*'Rate Calculations'!$G$9*(1-'Sum of Billing Determinants'!$AC22), 0)</f>
        <v>237</v>
      </c>
      <c r="J14" s="31">
        <f>ROUND('Sum of Billing Determinants'!K22*'Rate Calculations'!$G$9*(1-'Sum of Billing Determinants'!$AC22), 0)</f>
        <v>303</v>
      </c>
      <c r="K14" s="31">
        <f>ROUND('Sum of Billing Determinants'!L22*'Rate Calculations'!$G$9*(1-'Sum of Billing Determinants'!$AC22), 0)</f>
        <v>237</v>
      </c>
      <c r="L14" s="31">
        <f>ROUND('Sum of Billing Determinants'!M22*'Rate Calculations'!$G$9*(1-'Sum of Billing Determinants'!$AC22), 0)</f>
        <v>231</v>
      </c>
      <c r="M14" s="31">
        <f>ROUND('Sum of Billing Determinants'!N22*'Rate Calculations'!$G$9*(1-'Sum of Billing Determinants'!$AC22), 0)</f>
        <v>207</v>
      </c>
      <c r="N14" s="31">
        <f t="shared" si="0"/>
        <v>2272</v>
      </c>
    </row>
    <row r="15" spans="1:16" x14ac:dyDescent="0.3">
      <c r="B15" s="27">
        <f>'Sum of Billing Determinants'!A23</f>
        <v>10057</v>
      </c>
      <c r="C15" s="27" t="str">
        <f>'Sum of Billing Determinants'!B23</f>
        <v>Ashland, City of</v>
      </c>
      <c r="D15" s="31">
        <f>ROUND('Sum of Billing Determinants'!E23*'Rate Calculations'!$G$9*(1-'Sum of Billing Determinants'!$AC23), 0)</f>
        <v>13358</v>
      </c>
      <c r="E15" s="31">
        <f>ROUND('Sum of Billing Determinants'!F23*'Rate Calculations'!$G$9*(1-'Sum of Billing Determinants'!$AC23), 0)</f>
        <v>11134</v>
      </c>
      <c r="F15" s="31">
        <f>ROUND('Sum of Billing Determinants'!G23*'Rate Calculations'!$G$9*(1-'Sum of Billing Determinants'!$AC23), 0)</f>
        <v>10087</v>
      </c>
      <c r="G15" s="31">
        <f>ROUND('Sum of Billing Determinants'!H23*'Rate Calculations'!$G$9*(1-'Sum of Billing Determinants'!$AC23), 0)</f>
        <v>11219</v>
      </c>
      <c r="H15" s="31">
        <f>ROUND('Sum of Billing Determinants'!I23*'Rate Calculations'!$G$9*(1-'Sum of Billing Determinants'!$AC23), 0)</f>
        <v>9135</v>
      </c>
      <c r="I15" s="31">
        <f>ROUND('Sum of Billing Determinants'!J23*'Rate Calculations'!$G$9*(1-'Sum of Billing Determinants'!$AC23), 0)</f>
        <v>12320</v>
      </c>
      <c r="J15" s="31">
        <f>ROUND('Sum of Billing Determinants'!K23*'Rate Calculations'!$G$9*(1-'Sum of Billing Determinants'!$AC23), 0)</f>
        <v>15719</v>
      </c>
      <c r="K15" s="31">
        <f>ROUND('Sum of Billing Determinants'!L23*'Rate Calculations'!$G$9*(1-'Sum of Billing Determinants'!$AC23), 0)</f>
        <v>12324</v>
      </c>
      <c r="L15" s="31">
        <f>ROUND('Sum of Billing Determinants'!M23*'Rate Calculations'!$G$9*(1-'Sum of Billing Determinants'!$AC23), 0)</f>
        <v>12001</v>
      </c>
      <c r="M15" s="31">
        <f>ROUND('Sum of Billing Determinants'!N23*'Rate Calculations'!$G$9*(1-'Sum of Billing Determinants'!$AC23), 0)</f>
        <v>10775</v>
      </c>
      <c r="N15" s="31">
        <f t="shared" si="0"/>
        <v>118072</v>
      </c>
    </row>
    <row r="16" spans="1:16" x14ac:dyDescent="0.3">
      <c r="B16" s="27">
        <f>'Sum of Billing Determinants'!A24</f>
        <v>10059</v>
      </c>
      <c r="C16" s="27" t="str">
        <f>'Sum of Billing Determinants'!B24</f>
        <v>Bandon, City of</v>
      </c>
      <c r="D16" s="31">
        <f>ROUND('Sum of Billing Determinants'!E24*'Rate Calculations'!$G$9*(1-'Sum of Billing Determinants'!$AC24), 0)</f>
        <v>4987</v>
      </c>
      <c r="E16" s="31">
        <f>ROUND('Sum of Billing Determinants'!F24*'Rate Calculations'!$G$9*(1-'Sum of Billing Determinants'!$AC24), 0)</f>
        <v>4157</v>
      </c>
      <c r="F16" s="31">
        <f>ROUND('Sum of Billing Determinants'!G24*'Rate Calculations'!$G$9*(1-'Sum of Billing Determinants'!$AC24), 0)</f>
        <v>3766</v>
      </c>
      <c r="G16" s="31">
        <f>ROUND('Sum of Billing Determinants'!H24*'Rate Calculations'!$G$9*(1-'Sum of Billing Determinants'!$AC24), 0)</f>
        <v>4189</v>
      </c>
      <c r="H16" s="31">
        <f>ROUND('Sum of Billing Determinants'!I24*'Rate Calculations'!$G$9*(1-'Sum of Billing Determinants'!$AC24), 0)</f>
        <v>3411</v>
      </c>
      <c r="I16" s="31">
        <f>ROUND('Sum of Billing Determinants'!J24*'Rate Calculations'!$G$9*(1-'Sum of Billing Determinants'!$AC24), 0)</f>
        <v>4600</v>
      </c>
      <c r="J16" s="31">
        <f>ROUND('Sum of Billing Determinants'!K24*'Rate Calculations'!$G$9*(1-'Sum of Billing Determinants'!$AC24), 0)</f>
        <v>5869</v>
      </c>
      <c r="K16" s="31">
        <f>ROUND('Sum of Billing Determinants'!L24*'Rate Calculations'!$G$9*(1-'Sum of Billing Determinants'!$AC24), 0)</f>
        <v>4602</v>
      </c>
      <c r="L16" s="31">
        <f>ROUND('Sum of Billing Determinants'!M24*'Rate Calculations'!$G$9*(1-'Sum of Billing Determinants'!$AC24), 0)</f>
        <v>4481</v>
      </c>
      <c r="M16" s="31">
        <f>ROUND('Sum of Billing Determinants'!N24*'Rate Calculations'!$G$9*(1-'Sum of Billing Determinants'!$AC24), 0)</f>
        <v>4023</v>
      </c>
      <c r="N16" s="31">
        <f t="shared" si="0"/>
        <v>44085</v>
      </c>
    </row>
    <row r="17" spans="2:14" x14ac:dyDescent="0.3">
      <c r="B17" s="27">
        <f>'Sum of Billing Determinants'!A25</f>
        <v>10061</v>
      </c>
      <c r="C17" s="27" t="str">
        <f>'Sum of Billing Determinants'!B25</f>
        <v>Blaine, City of</v>
      </c>
      <c r="D17" s="31">
        <f>ROUND('Sum of Billing Determinants'!E25*'Rate Calculations'!$G$9*(1-'Sum of Billing Determinants'!$AC25), 0)</f>
        <v>5813</v>
      </c>
      <c r="E17" s="31">
        <f>ROUND('Sum of Billing Determinants'!F25*'Rate Calculations'!$G$9*(1-'Sum of Billing Determinants'!$AC25), 0)</f>
        <v>4846</v>
      </c>
      <c r="F17" s="31">
        <f>ROUND('Sum of Billing Determinants'!G25*'Rate Calculations'!$G$9*(1-'Sum of Billing Determinants'!$AC25), 0)</f>
        <v>4390</v>
      </c>
      <c r="G17" s="31">
        <f>ROUND('Sum of Billing Determinants'!H25*'Rate Calculations'!$G$9*(1-'Sum of Billing Determinants'!$AC25), 0)</f>
        <v>4883</v>
      </c>
      <c r="H17" s="31">
        <f>ROUND('Sum of Billing Determinants'!I25*'Rate Calculations'!$G$9*(1-'Sum of Billing Determinants'!$AC25), 0)</f>
        <v>3975</v>
      </c>
      <c r="I17" s="31">
        <f>ROUND('Sum of Billing Determinants'!J25*'Rate Calculations'!$G$9*(1-'Sum of Billing Determinants'!$AC25), 0)</f>
        <v>5361</v>
      </c>
      <c r="J17" s="31">
        <f>ROUND('Sum of Billing Determinants'!K25*'Rate Calculations'!$G$9*(1-'Sum of Billing Determinants'!$AC25), 0)</f>
        <v>6841</v>
      </c>
      <c r="K17" s="31">
        <f>ROUND('Sum of Billing Determinants'!L25*'Rate Calculations'!$G$9*(1-'Sum of Billing Determinants'!$AC25), 0)</f>
        <v>5363</v>
      </c>
      <c r="L17" s="31">
        <f>ROUND('Sum of Billing Determinants'!M25*'Rate Calculations'!$G$9*(1-'Sum of Billing Determinants'!$AC25), 0)</f>
        <v>5223</v>
      </c>
      <c r="M17" s="31">
        <f>ROUND('Sum of Billing Determinants'!N25*'Rate Calculations'!$G$9*(1-'Sum of Billing Determinants'!$AC25), 0)</f>
        <v>4689</v>
      </c>
      <c r="N17" s="31">
        <f t="shared" si="0"/>
        <v>51384</v>
      </c>
    </row>
    <row r="18" spans="2:14" x14ac:dyDescent="0.3">
      <c r="B18" s="27">
        <f>'Sum of Billing Determinants'!A26</f>
        <v>10062</v>
      </c>
      <c r="C18" s="27" t="str">
        <f>'Sum of Billing Determinants'!B26</f>
        <v>Bonners Ferry, City of</v>
      </c>
      <c r="D18" s="31">
        <f>ROUND('Sum of Billing Determinants'!E26*'Rate Calculations'!$G$9*(1-'Sum of Billing Determinants'!$AC26), 0)</f>
        <v>3535</v>
      </c>
      <c r="E18" s="31">
        <f>ROUND('Sum of Billing Determinants'!F26*'Rate Calculations'!$G$9*(1-'Sum of Billing Determinants'!$AC26), 0)</f>
        <v>2947</v>
      </c>
      <c r="F18" s="31">
        <f>ROUND('Sum of Billing Determinants'!G26*'Rate Calculations'!$G$9*(1-'Sum of Billing Determinants'!$AC26), 0)</f>
        <v>2670</v>
      </c>
      <c r="G18" s="31">
        <f>ROUND('Sum of Billing Determinants'!H26*'Rate Calculations'!$G$9*(1-'Sum of Billing Determinants'!$AC26), 0)</f>
        <v>2969</v>
      </c>
      <c r="H18" s="31">
        <f>ROUND('Sum of Billing Determinants'!I26*'Rate Calculations'!$G$9*(1-'Sum of Billing Determinants'!$AC26), 0)</f>
        <v>2418</v>
      </c>
      <c r="I18" s="31">
        <f>ROUND('Sum of Billing Determinants'!J26*'Rate Calculations'!$G$9*(1-'Sum of Billing Determinants'!$AC26), 0)</f>
        <v>3261</v>
      </c>
      <c r="J18" s="31">
        <f>ROUND('Sum of Billing Determinants'!K26*'Rate Calculations'!$G$9*(1-'Sum of Billing Determinants'!$AC26), 0)</f>
        <v>4160</v>
      </c>
      <c r="K18" s="31">
        <f>ROUND('Sum of Billing Determinants'!L26*'Rate Calculations'!$G$9*(1-'Sum of Billing Determinants'!$AC26), 0)</f>
        <v>3262</v>
      </c>
      <c r="L18" s="31">
        <f>ROUND('Sum of Billing Determinants'!M26*'Rate Calculations'!$G$9*(1-'Sum of Billing Determinants'!$AC26), 0)</f>
        <v>3176</v>
      </c>
      <c r="M18" s="31">
        <f>ROUND('Sum of Billing Determinants'!N26*'Rate Calculations'!$G$9*(1-'Sum of Billing Determinants'!$AC26), 0)</f>
        <v>2852</v>
      </c>
      <c r="N18" s="31">
        <f t="shared" si="0"/>
        <v>31250</v>
      </c>
    </row>
    <row r="19" spans="2:14" x14ac:dyDescent="0.3">
      <c r="B19" s="27">
        <f>'Sum of Billing Determinants'!A27</f>
        <v>10064</v>
      </c>
      <c r="C19" s="27" t="str">
        <f>'Sum of Billing Determinants'!B27</f>
        <v>Burley, City of</v>
      </c>
      <c r="D19" s="31">
        <f>ROUND('Sum of Billing Determinants'!E27*'Rate Calculations'!$G$9*(1-'Sum of Billing Determinants'!$AC27), 0)</f>
        <v>9290</v>
      </c>
      <c r="E19" s="31">
        <f>ROUND('Sum of Billing Determinants'!F27*'Rate Calculations'!$G$9*(1-'Sum of Billing Determinants'!$AC27), 0)</f>
        <v>7743</v>
      </c>
      <c r="F19" s="31">
        <f>ROUND('Sum of Billing Determinants'!G27*'Rate Calculations'!$G$9*(1-'Sum of Billing Determinants'!$AC27), 0)</f>
        <v>7015</v>
      </c>
      <c r="G19" s="31">
        <f>ROUND('Sum of Billing Determinants'!H27*'Rate Calculations'!$G$9*(1-'Sum of Billing Determinants'!$AC27), 0)</f>
        <v>7803</v>
      </c>
      <c r="H19" s="31">
        <f>ROUND('Sum of Billing Determinants'!I27*'Rate Calculations'!$G$9*(1-'Sum of Billing Determinants'!$AC27), 0)</f>
        <v>6353</v>
      </c>
      <c r="I19" s="31">
        <f>ROUND('Sum of Billing Determinants'!J27*'Rate Calculations'!$G$9*(1-'Sum of Billing Determinants'!$AC27), 0)</f>
        <v>8568</v>
      </c>
      <c r="J19" s="31">
        <f>ROUND('Sum of Billing Determinants'!K27*'Rate Calculations'!$G$9*(1-'Sum of Billing Determinants'!$AC27), 0)</f>
        <v>10932</v>
      </c>
      <c r="K19" s="31">
        <f>ROUND('Sum of Billing Determinants'!L27*'Rate Calculations'!$G$9*(1-'Sum of Billing Determinants'!$AC27), 0)</f>
        <v>8571</v>
      </c>
      <c r="L19" s="31">
        <f>ROUND('Sum of Billing Determinants'!M27*'Rate Calculations'!$G$9*(1-'Sum of Billing Determinants'!$AC27), 0)</f>
        <v>8347</v>
      </c>
      <c r="M19" s="31">
        <f>ROUND('Sum of Billing Determinants'!N27*'Rate Calculations'!$G$9*(1-'Sum of Billing Determinants'!$AC27), 0)</f>
        <v>7493</v>
      </c>
      <c r="N19" s="31">
        <f t="shared" si="0"/>
        <v>82115</v>
      </c>
    </row>
    <row r="20" spans="2:14" x14ac:dyDescent="0.3">
      <c r="B20" s="27">
        <f>'Sum of Billing Determinants'!A28</f>
        <v>10065</v>
      </c>
      <c r="C20" s="27" t="str">
        <f>'Sum of Billing Determinants'!B28</f>
        <v>Cascade Locks, City of</v>
      </c>
      <c r="D20" s="31">
        <f>ROUND('Sum of Billing Determinants'!E28*'Rate Calculations'!$G$9*(1-'Sum of Billing Determinants'!$AC28), 0)</f>
        <v>1498</v>
      </c>
      <c r="E20" s="31">
        <f>ROUND('Sum of Billing Determinants'!F28*'Rate Calculations'!$G$9*(1-'Sum of Billing Determinants'!$AC28), 0)</f>
        <v>1249</v>
      </c>
      <c r="F20" s="31">
        <f>ROUND('Sum of Billing Determinants'!G28*'Rate Calculations'!$G$9*(1-'Sum of Billing Determinants'!$AC28), 0)</f>
        <v>1131</v>
      </c>
      <c r="G20" s="31">
        <f>ROUND('Sum of Billing Determinants'!H28*'Rate Calculations'!$G$9*(1-'Sum of Billing Determinants'!$AC28), 0)</f>
        <v>1258</v>
      </c>
      <c r="H20" s="31">
        <f>ROUND('Sum of Billing Determinants'!I28*'Rate Calculations'!$G$9*(1-'Sum of Billing Determinants'!$AC28), 0)</f>
        <v>1024</v>
      </c>
      <c r="I20" s="31">
        <f>ROUND('Sum of Billing Determinants'!J28*'Rate Calculations'!$G$9*(1-'Sum of Billing Determinants'!$AC28), 0)</f>
        <v>1382</v>
      </c>
      <c r="J20" s="31">
        <f>ROUND('Sum of Billing Determinants'!K28*'Rate Calculations'!$G$9*(1-'Sum of Billing Determinants'!$AC28), 0)</f>
        <v>1763</v>
      </c>
      <c r="K20" s="31">
        <f>ROUND('Sum of Billing Determinants'!L28*'Rate Calculations'!$G$9*(1-'Sum of Billing Determinants'!$AC28), 0)</f>
        <v>1382</v>
      </c>
      <c r="L20" s="31">
        <f>ROUND('Sum of Billing Determinants'!M28*'Rate Calculations'!$G$9*(1-'Sum of Billing Determinants'!$AC28), 0)</f>
        <v>1346</v>
      </c>
      <c r="M20" s="31">
        <f>ROUND('Sum of Billing Determinants'!N28*'Rate Calculations'!$G$9*(1-'Sum of Billing Determinants'!$AC28), 0)</f>
        <v>1208</v>
      </c>
      <c r="N20" s="31">
        <f t="shared" si="0"/>
        <v>13241</v>
      </c>
    </row>
    <row r="21" spans="2:14" x14ac:dyDescent="0.3">
      <c r="B21" s="27">
        <f>'Sum of Billing Determinants'!A29</f>
        <v>10066</v>
      </c>
      <c r="C21" s="27" t="str">
        <f>'Sum of Billing Determinants'!B29</f>
        <v>Centralia, City of</v>
      </c>
      <c r="D21" s="31">
        <f>ROUND('Sum of Billing Determinants'!E29*'Rate Calculations'!$G$9*(1-'Sum of Billing Determinants'!$AC29), 0)</f>
        <v>16198</v>
      </c>
      <c r="E21" s="31">
        <f>ROUND('Sum of Billing Determinants'!F29*'Rate Calculations'!$G$9*(1-'Sum of Billing Determinants'!$AC29), 0)</f>
        <v>13502</v>
      </c>
      <c r="F21" s="31">
        <f>ROUND('Sum of Billing Determinants'!G29*'Rate Calculations'!$G$9*(1-'Sum of Billing Determinants'!$AC29), 0)</f>
        <v>12232</v>
      </c>
      <c r="G21" s="31">
        <f>ROUND('Sum of Billing Determinants'!H29*'Rate Calculations'!$G$9*(1-'Sum of Billing Determinants'!$AC29), 0)</f>
        <v>13605</v>
      </c>
      <c r="H21" s="31">
        <f>ROUND('Sum of Billing Determinants'!I29*'Rate Calculations'!$G$9*(1-'Sum of Billing Determinants'!$AC29), 0)</f>
        <v>11078</v>
      </c>
      <c r="I21" s="31">
        <f>ROUND('Sum of Billing Determinants'!J29*'Rate Calculations'!$G$9*(1-'Sum of Billing Determinants'!$AC29), 0)</f>
        <v>14940</v>
      </c>
      <c r="J21" s="31">
        <f>ROUND('Sum of Billing Determinants'!K29*'Rate Calculations'!$G$9*(1-'Sum of Billing Determinants'!$AC29), 0)</f>
        <v>19062</v>
      </c>
      <c r="K21" s="31">
        <f>ROUND('Sum of Billing Determinants'!L29*'Rate Calculations'!$G$9*(1-'Sum of Billing Determinants'!$AC29), 0)</f>
        <v>14945</v>
      </c>
      <c r="L21" s="31">
        <f>ROUND('Sum of Billing Determinants'!M29*'Rate Calculations'!$G$9*(1-'Sum of Billing Determinants'!$AC29), 0)</f>
        <v>14554</v>
      </c>
      <c r="M21" s="31">
        <f>ROUND('Sum of Billing Determinants'!N29*'Rate Calculations'!$G$9*(1-'Sum of Billing Determinants'!$AC29), 0)</f>
        <v>13066</v>
      </c>
      <c r="N21" s="31">
        <f t="shared" si="0"/>
        <v>143182</v>
      </c>
    </row>
    <row r="22" spans="2:14" x14ac:dyDescent="0.3">
      <c r="B22" s="27">
        <f>'Sum of Billing Determinants'!A30</f>
        <v>10067</v>
      </c>
      <c r="C22" s="27" t="str">
        <f>'Sum of Billing Determinants'!B30</f>
        <v>Cheney, City of</v>
      </c>
      <c r="D22" s="31">
        <f>ROUND('Sum of Billing Determinants'!E30*'Rate Calculations'!$G$9*(1-'Sum of Billing Determinants'!$AC30), 0)</f>
        <v>10512</v>
      </c>
      <c r="E22" s="31">
        <f>ROUND('Sum of Billing Determinants'!F30*'Rate Calculations'!$G$9*(1-'Sum of Billing Determinants'!$AC30), 0)</f>
        <v>8763</v>
      </c>
      <c r="F22" s="31">
        <f>ROUND('Sum of Billing Determinants'!G30*'Rate Calculations'!$G$9*(1-'Sum of Billing Determinants'!$AC30), 0)</f>
        <v>7938</v>
      </c>
      <c r="G22" s="31">
        <f>ROUND('Sum of Billing Determinants'!H30*'Rate Calculations'!$G$9*(1-'Sum of Billing Determinants'!$AC30), 0)</f>
        <v>8830</v>
      </c>
      <c r="H22" s="31">
        <f>ROUND('Sum of Billing Determinants'!I30*'Rate Calculations'!$G$9*(1-'Sum of Billing Determinants'!$AC30), 0)</f>
        <v>7189</v>
      </c>
      <c r="I22" s="31">
        <f>ROUND('Sum of Billing Determinants'!J30*'Rate Calculations'!$G$9*(1-'Sum of Billing Determinants'!$AC30), 0)</f>
        <v>9696</v>
      </c>
      <c r="J22" s="31">
        <f>ROUND('Sum of Billing Determinants'!K30*'Rate Calculations'!$G$9*(1-'Sum of Billing Determinants'!$AC30), 0)</f>
        <v>12371</v>
      </c>
      <c r="K22" s="31">
        <f>ROUND('Sum of Billing Determinants'!L30*'Rate Calculations'!$G$9*(1-'Sum of Billing Determinants'!$AC30), 0)</f>
        <v>9699</v>
      </c>
      <c r="L22" s="31">
        <f>ROUND('Sum of Billing Determinants'!M30*'Rate Calculations'!$G$9*(1-'Sum of Billing Determinants'!$AC30), 0)</f>
        <v>9445</v>
      </c>
      <c r="M22" s="31">
        <f>ROUND('Sum of Billing Determinants'!N30*'Rate Calculations'!$G$9*(1-'Sum of Billing Determinants'!$AC30), 0)</f>
        <v>8480</v>
      </c>
      <c r="N22" s="31">
        <f t="shared" si="0"/>
        <v>92923</v>
      </c>
    </row>
    <row r="23" spans="2:14" x14ac:dyDescent="0.3">
      <c r="B23" s="27">
        <f>'Sum of Billing Determinants'!A31</f>
        <v>10068</v>
      </c>
      <c r="C23" s="27" t="str">
        <f>'Sum of Billing Determinants'!B31</f>
        <v>Chewelah, City of</v>
      </c>
      <c r="D23" s="31">
        <f>ROUND('Sum of Billing Determinants'!E31*'Rate Calculations'!$G$9*(1-'Sum of Billing Determinants'!$AC31), 0)</f>
        <v>1707</v>
      </c>
      <c r="E23" s="31">
        <f>ROUND('Sum of Billing Determinants'!F31*'Rate Calculations'!$G$9*(1-'Sum of Billing Determinants'!$AC31), 0)</f>
        <v>1423</v>
      </c>
      <c r="F23" s="31">
        <f>ROUND('Sum of Billing Determinants'!G31*'Rate Calculations'!$G$9*(1-'Sum of Billing Determinants'!$AC31), 0)</f>
        <v>1289</v>
      </c>
      <c r="G23" s="31">
        <f>ROUND('Sum of Billing Determinants'!H31*'Rate Calculations'!$G$9*(1-'Sum of Billing Determinants'!$AC31), 0)</f>
        <v>1434</v>
      </c>
      <c r="H23" s="31">
        <f>ROUND('Sum of Billing Determinants'!I31*'Rate Calculations'!$G$9*(1-'Sum of Billing Determinants'!$AC31), 0)</f>
        <v>1167</v>
      </c>
      <c r="I23" s="31">
        <f>ROUND('Sum of Billing Determinants'!J31*'Rate Calculations'!$G$9*(1-'Sum of Billing Determinants'!$AC31), 0)</f>
        <v>1574</v>
      </c>
      <c r="J23" s="31">
        <f>ROUND('Sum of Billing Determinants'!K31*'Rate Calculations'!$G$9*(1-'Sum of Billing Determinants'!$AC31), 0)</f>
        <v>2009</v>
      </c>
      <c r="K23" s="31">
        <f>ROUND('Sum of Billing Determinants'!L31*'Rate Calculations'!$G$9*(1-'Sum of Billing Determinants'!$AC31), 0)</f>
        <v>1575</v>
      </c>
      <c r="L23" s="31">
        <f>ROUND('Sum of Billing Determinants'!M31*'Rate Calculations'!$G$9*(1-'Sum of Billing Determinants'!$AC31), 0)</f>
        <v>1534</v>
      </c>
      <c r="M23" s="31">
        <f>ROUND('Sum of Billing Determinants'!N31*'Rate Calculations'!$G$9*(1-'Sum of Billing Determinants'!$AC31), 0)</f>
        <v>1377</v>
      </c>
      <c r="N23" s="31">
        <f t="shared" si="0"/>
        <v>15089</v>
      </c>
    </row>
    <row r="24" spans="2:14" x14ac:dyDescent="0.3">
      <c r="B24" s="27">
        <f>'Sum of Billing Determinants'!A32</f>
        <v>10070</v>
      </c>
      <c r="C24" s="27" t="str">
        <f>'Sum of Billing Determinants'!B32</f>
        <v>Declo, City of</v>
      </c>
      <c r="D24" s="31">
        <f>ROUND('Sum of Billing Determinants'!E32*'Rate Calculations'!$G$9*(1-'Sum of Billing Determinants'!$AC32), 0)</f>
        <v>238</v>
      </c>
      <c r="E24" s="31">
        <f>ROUND('Sum of Billing Determinants'!F32*'Rate Calculations'!$G$9*(1-'Sum of Billing Determinants'!$AC32), 0)</f>
        <v>199</v>
      </c>
      <c r="F24" s="31">
        <f>ROUND('Sum of Billing Determinants'!G32*'Rate Calculations'!$G$9*(1-'Sum of Billing Determinants'!$AC32), 0)</f>
        <v>180</v>
      </c>
      <c r="G24" s="31">
        <f>ROUND('Sum of Billing Determinants'!H32*'Rate Calculations'!$G$9*(1-'Sum of Billing Determinants'!$AC32), 0)</f>
        <v>200</v>
      </c>
      <c r="H24" s="31">
        <f>ROUND('Sum of Billing Determinants'!I32*'Rate Calculations'!$G$9*(1-'Sum of Billing Determinants'!$AC32), 0)</f>
        <v>163</v>
      </c>
      <c r="I24" s="31">
        <f>ROUND('Sum of Billing Determinants'!J32*'Rate Calculations'!$G$9*(1-'Sum of Billing Determinants'!$AC32), 0)</f>
        <v>220</v>
      </c>
      <c r="J24" s="31">
        <f>ROUND('Sum of Billing Determinants'!K32*'Rate Calculations'!$G$9*(1-'Sum of Billing Determinants'!$AC32), 0)</f>
        <v>281</v>
      </c>
      <c r="K24" s="31">
        <f>ROUND('Sum of Billing Determinants'!L32*'Rate Calculations'!$G$9*(1-'Sum of Billing Determinants'!$AC32), 0)</f>
        <v>220</v>
      </c>
      <c r="L24" s="31">
        <f>ROUND('Sum of Billing Determinants'!M32*'Rate Calculations'!$G$9*(1-'Sum of Billing Determinants'!$AC32), 0)</f>
        <v>214</v>
      </c>
      <c r="M24" s="31">
        <f>ROUND('Sum of Billing Determinants'!N32*'Rate Calculations'!$G$9*(1-'Sum of Billing Determinants'!$AC32), 0)</f>
        <v>192</v>
      </c>
      <c r="N24" s="31">
        <f t="shared" si="0"/>
        <v>2107</v>
      </c>
    </row>
    <row r="25" spans="2:14" x14ac:dyDescent="0.3">
      <c r="B25" s="27">
        <f>'Sum of Billing Determinants'!A33</f>
        <v>10071</v>
      </c>
      <c r="C25" s="27" t="str">
        <f>'Sum of Billing Determinants'!B33</f>
        <v>Drain, City of</v>
      </c>
      <c r="D25" s="31">
        <f>ROUND('Sum of Billing Determinants'!E33*'Rate Calculations'!$G$9*(1-'Sum of Billing Determinants'!$AC33), 0)</f>
        <v>1244</v>
      </c>
      <c r="E25" s="31">
        <f>ROUND('Sum of Billing Determinants'!F33*'Rate Calculations'!$G$9*(1-'Sum of Billing Determinants'!$AC33), 0)</f>
        <v>1037</v>
      </c>
      <c r="F25" s="31">
        <f>ROUND('Sum of Billing Determinants'!G33*'Rate Calculations'!$G$9*(1-'Sum of Billing Determinants'!$AC33), 0)</f>
        <v>940</v>
      </c>
      <c r="G25" s="31">
        <f>ROUND('Sum of Billing Determinants'!H33*'Rate Calculations'!$G$9*(1-'Sum of Billing Determinants'!$AC33), 0)</f>
        <v>1045</v>
      </c>
      <c r="H25" s="31">
        <f>ROUND('Sum of Billing Determinants'!I33*'Rate Calculations'!$G$9*(1-'Sum of Billing Determinants'!$AC33), 0)</f>
        <v>851</v>
      </c>
      <c r="I25" s="31">
        <f>ROUND('Sum of Billing Determinants'!J33*'Rate Calculations'!$G$9*(1-'Sum of Billing Determinants'!$AC33), 0)</f>
        <v>1148</v>
      </c>
      <c r="J25" s="31">
        <f>ROUND('Sum of Billing Determinants'!K33*'Rate Calculations'!$G$9*(1-'Sum of Billing Determinants'!$AC33), 0)</f>
        <v>1464</v>
      </c>
      <c r="K25" s="31">
        <f>ROUND('Sum of Billing Determinants'!L33*'Rate Calculations'!$G$9*(1-'Sum of Billing Determinants'!$AC33), 0)</f>
        <v>1148</v>
      </c>
      <c r="L25" s="31">
        <f>ROUND('Sum of Billing Determinants'!M33*'Rate Calculations'!$G$9*(1-'Sum of Billing Determinants'!$AC33), 0)</f>
        <v>1118</v>
      </c>
      <c r="M25" s="31">
        <f>ROUND('Sum of Billing Determinants'!N33*'Rate Calculations'!$G$9*(1-'Sum of Billing Determinants'!$AC33), 0)</f>
        <v>1004</v>
      </c>
      <c r="N25" s="31">
        <f t="shared" si="0"/>
        <v>10999</v>
      </c>
    </row>
    <row r="26" spans="2:14" x14ac:dyDescent="0.3">
      <c r="B26" s="27">
        <f>'Sum of Billing Determinants'!A34</f>
        <v>10072</v>
      </c>
      <c r="C26" s="27" t="str">
        <f>'Sum of Billing Determinants'!B34</f>
        <v>Ellensburg, City of</v>
      </c>
      <c r="D26" s="31">
        <f>ROUND('Sum of Billing Determinants'!E34*'Rate Calculations'!$G$9*(1-'Sum of Billing Determinants'!$AC34), 0)</f>
        <v>15940</v>
      </c>
      <c r="E26" s="31">
        <f>ROUND('Sum of Billing Determinants'!F34*'Rate Calculations'!$G$9*(1-'Sum of Billing Determinants'!$AC34), 0)</f>
        <v>13287</v>
      </c>
      <c r="F26" s="31">
        <f>ROUND('Sum of Billing Determinants'!G34*'Rate Calculations'!$G$9*(1-'Sum of Billing Determinants'!$AC34), 0)</f>
        <v>12036</v>
      </c>
      <c r="G26" s="31">
        <f>ROUND('Sum of Billing Determinants'!H34*'Rate Calculations'!$G$9*(1-'Sum of Billing Determinants'!$AC34), 0)</f>
        <v>13388</v>
      </c>
      <c r="H26" s="31">
        <f>ROUND('Sum of Billing Determinants'!I34*'Rate Calculations'!$G$9*(1-'Sum of Billing Determinants'!$AC34), 0)</f>
        <v>10901</v>
      </c>
      <c r="I26" s="31">
        <f>ROUND('Sum of Billing Determinants'!J34*'Rate Calculations'!$G$9*(1-'Sum of Billing Determinants'!$AC34), 0)</f>
        <v>14701</v>
      </c>
      <c r="J26" s="31">
        <f>ROUND('Sum of Billing Determinants'!K34*'Rate Calculations'!$G$9*(1-'Sum of Billing Determinants'!$AC34), 0)</f>
        <v>18758</v>
      </c>
      <c r="K26" s="31">
        <f>ROUND('Sum of Billing Determinants'!L34*'Rate Calculations'!$G$9*(1-'Sum of Billing Determinants'!$AC34), 0)</f>
        <v>14707</v>
      </c>
      <c r="L26" s="31">
        <f>ROUND('Sum of Billing Determinants'!M34*'Rate Calculations'!$G$9*(1-'Sum of Billing Determinants'!$AC34), 0)</f>
        <v>14321</v>
      </c>
      <c r="M26" s="31">
        <f>ROUND('Sum of Billing Determinants'!N34*'Rate Calculations'!$G$9*(1-'Sum of Billing Determinants'!$AC34), 0)</f>
        <v>12857</v>
      </c>
      <c r="N26" s="31">
        <f t="shared" si="0"/>
        <v>140896</v>
      </c>
    </row>
    <row r="27" spans="2:14" x14ac:dyDescent="0.3">
      <c r="B27" s="27">
        <f>'Sum of Billing Determinants'!A35</f>
        <v>10074</v>
      </c>
      <c r="C27" s="27" t="str">
        <f>'Sum of Billing Determinants'!B35</f>
        <v>Forest Grove, City of</v>
      </c>
      <c r="D27" s="31">
        <f>ROUND('Sum of Billing Determinants'!E35*'Rate Calculations'!$G$9*(1-'Sum of Billing Determinants'!$AC35), 0)</f>
        <v>17734</v>
      </c>
      <c r="E27" s="31">
        <f>ROUND('Sum of Billing Determinants'!F35*'Rate Calculations'!$G$9*(1-'Sum of Billing Determinants'!$AC35), 0)</f>
        <v>14782</v>
      </c>
      <c r="F27" s="31">
        <f>ROUND('Sum of Billing Determinants'!G35*'Rate Calculations'!$G$9*(1-'Sum of Billing Determinants'!$AC35), 0)</f>
        <v>13391</v>
      </c>
      <c r="G27" s="31">
        <f>ROUND('Sum of Billing Determinants'!H35*'Rate Calculations'!$G$9*(1-'Sum of Billing Determinants'!$AC35), 0)</f>
        <v>14895</v>
      </c>
      <c r="H27" s="31">
        <f>ROUND('Sum of Billing Determinants'!I35*'Rate Calculations'!$G$9*(1-'Sum of Billing Determinants'!$AC35), 0)</f>
        <v>12128</v>
      </c>
      <c r="I27" s="31">
        <f>ROUND('Sum of Billing Determinants'!J35*'Rate Calculations'!$G$9*(1-'Sum of Billing Determinants'!$AC35), 0)</f>
        <v>16356</v>
      </c>
      <c r="J27" s="31">
        <f>ROUND('Sum of Billing Determinants'!K35*'Rate Calculations'!$G$9*(1-'Sum of Billing Determinants'!$AC35), 0)</f>
        <v>20869</v>
      </c>
      <c r="K27" s="31">
        <f>ROUND('Sum of Billing Determinants'!L35*'Rate Calculations'!$G$9*(1-'Sum of Billing Determinants'!$AC35), 0)</f>
        <v>16362</v>
      </c>
      <c r="L27" s="31">
        <f>ROUND('Sum of Billing Determinants'!M35*'Rate Calculations'!$G$9*(1-'Sum of Billing Determinants'!$AC35), 0)</f>
        <v>15934</v>
      </c>
      <c r="M27" s="31">
        <f>ROUND('Sum of Billing Determinants'!N35*'Rate Calculations'!$G$9*(1-'Sum of Billing Determinants'!$AC35), 0)</f>
        <v>14305</v>
      </c>
      <c r="N27" s="31">
        <f t="shared" si="0"/>
        <v>156756</v>
      </c>
    </row>
    <row r="28" spans="2:14" x14ac:dyDescent="0.3">
      <c r="B28" s="27">
        <f>'Sum of Billing Determinants'!A36</f>
        <v>10076</v>
      </c>
      <c r="C28" s="27" t="str">
        <f>'Sum of Billing Determinants'!B36</f>
        <v>Heyburn, City of</v>
      </c>
      <c r="D28" s="31">
        <f>ROUND('Sum of Billing Determinants'!E36*'Rate Calculations'!$G$9*(1-'Sum of Billing Determinants'!$AC36), 0)</f>
        <v>3202</v>
      </c>
      <c r="E28" s="31">
        <f>ROUND('Sum of Billing Determinants'!F36*'Rate Calculations'!$G$9*(1-'Sum of Billing Determinants'!$AC36), 0)</f>
        <v>2669</v>
      </c>
      <c r="F28" s="31">
        <f>ROUND('Sum of Billing Determinants'!G36*'Rate Calculations'!$G$9*(1-'Sum of Billing Determinants'!$AC36), 0)</f>
        <v>2418</v>
      </c>
      <c r="G28" s="31">
        <f>ROUND('Sum of Billing Determinants'!H36*'Rate Calculations'!$G$9*(1-'Sum of Billing Determinants'!$AC36), 0)</f>
        <v>2689</v>
      </c>
      <c r="H28" s="31">
        <f>ROUND('Sum of Billing Determinants'!I36*'Rate Calculations'!$G$9*(1-'Sum of Billing Determinants'!$AC36), 0)</f>
        <v>2190</v>
      </c>
      <c r="I28" s="31">
        <f>ROUND('Sum of Billing Determinants'!J36*'Rate Calculations'!$G$9*(1-'Sum of Billing Determinants'!$AC36), 0)</f>
        <v>2953</v>
      </c>
      <c r="J28" s="31">
        <f>ROUND('Sum of Billing Determinants'!K36*'Rate Calculations'!$G$9*(1-'Sum of Billing Determinants'!$AC36), 0)</f>
        <v>3768</v>
      </c>
      <c r="K28" s="31">
        <f>ROUND('Sum of Billing Determinants'!L36*'Rate Calculations'!$G$9*(1-'Sum of Billing Determinants'!$AC36), 0)</f>
        <v>2954</v>
      </c>
      <c r="L28" s="31">
        <f>ROUND('Sum of Billing Determinants'!M36*'Rate Calculations'!$G$9*(1-'Sum of Billing Determinants'!$AC36), 0)</f>
        <v>2877</v>
      </c>
      <c r="M28" s="31">
        <f>ROUND('Sum of Billing Determinants'!N36*'Rate Calculations'!$G$9*(1-'Sum of Billing Determinants'!$AC36), 0)</f>
        <v>2583</v>
      </c>
      <c r="N28" s="31">
        <f t="shared" si="0"/>
        <v>28303</v>
      </c>
    </row>
    <row r="29" spans="2:14" x14ac:dyDescent="0.3">
      <c r="B29" s="27">
        <f>'Sum of Billing Determinants'!A37</f>
        <v>10078</v>
      </c>
      <c r="C29" s="27" t="str">
        <f>'Sum of Billing Determinants'!B37</f>
        <v>McCleary, City of</v>
      </c>
      <c r="D29" s="31">
        <f>ROUND('Sum of Billing Determinants'!E37*'Rate Calculations'!$G$9*(1-'Sum of Billing Determinants'!$AC37), 0)</f>
        <v>2471</v>
      </c>
      <c r="E29" s="31">
        <f>ROUND('Sum of Billing Determinants'!F37*'Rate Calculations'!$G$9*(1-'Sum of Billing Determinants'!$AC37), 0)</f>
        <v>2059</v>
      </c>
      <c r="F29" s="31">
        <f>ROUND('Sum of Billing Determinants'!G37*'Rate Calculations'!$G$9*(1-'Sum of Billing Determinants'!$AC37), 0)</f>
        <v>1866</v>
      </c>
      <c r="G29" s="31">
        <f>ROUND('Sum of Billing Determinants'!H37*'Rate Calculations'!$G$9*(1-'Sum of Billing Determinants'!$AC37), 0)</f>
        <v>2075</v>
      </c>
      <c r="H29" s="31">
        <f>ROUND('Sum of Billing Determinants'!I37*'Rate Calculations'!$G$9*(1-'Sum of Billing Determinants'!$AC37), 0)</f>
        <v>1690</v>
      </c>
      <c r="I29" s="31">
        <f>ROUND('Sum of Billing Determinants'!J37*'Rate Calculations'!$G$9*(1-'Sum of Billing Determinants'!$AC37), 0)</f>
        <v>2279</v>
      </c>
      <c r="J29" s="31">
        <f>ROUND('Sum of Billing Determinants'!K37*'Rate Calculations'!$G$9*(1-'Sum of Billing Determinants'!$AC37), 0)</f>
        <v>2908</v>
      </c>
      <c r="K29" s="31">
        <f>ROUND('Sum of Billing Determinants'!L37*'Rate Calculations'!$G$9*(1-'Sum of Billing Determinants'!$AC37), 0)</f>
        <v>2280</v>
      </c>
      <c r="L29" s="31">
        <f>ROUND('Sum of Billing Determinants'!M37*'Rate Calculations'!$G$9*(1-'Sum of Billing Determinants'!$AC37), 0)</f>
        <v>2220</v>
      </c>
      <c r="M29" s="31">
        <f>ROUND('Sum of Billing Determinants'!N37*'Rate Calculations'!$G$9*(1-'Sum of Billing Determinants'!$AC37), 0)</f>
        <v>1993</v>
      </c>
      <c r="N29" s="31">
        <f t="shared" si="0"/>
        <v>21841</v>
      </c>
    </row>
    <row r="30" spans="2:14" x14ac:dyDescent="0.3">
      <c r="B30" s="27">
        <f>'Sum of Billing Determinants'!A38</f>
        <v>10079</v>
      </c>
      <c r="C30" s="27" t="str">
        <f>'Sum of Billing Determinants'!B38</f>
        <v>McMinnville, City of</v>
      </c>
      <c r="D30" s="31">
        <f>ROUND('Sum of Billing Determinants'!E38*'Rate Calculations'!$G$9*(1-'Sum of Billing Determinants'!$AC38), 0)</f>
        <v>57871</v>
      </c>
      <c r="E30" s="31">
        <f>ROUND('Sum of Billing Determinants'!F38*'Rate Calculations'!$G$9*(1-'Sum of Billing Determinants'!$AC38), 0)</f>
        <v>48239</v>
      </c>
      <c r="F30" s="31">
        <f>ROUND('Sum of Billing Determinants'!G38*'Rate Calculations'!$G$9*(1-'Sum of Billing Determinants'!$AC38), 0)</f>
        <v>43700</v>
      </c>
      <c r="G30" s="31">
        <f>ROUND('Sum of Billing Determinants'!H38*'Rate Calculations'!$G$9*(1-'Sum of Billing Determinants'!$AC38), 0)</f>
        <v>48608</v>
      </c>
      <c r="H30" s="31">
        <f>ROUND('Sum of Billing Determinants'!I38*'Rate Calculations'!$G$9*(1-'Sum of Billing Determinants'!$AC38), 0)</f>
        <v>39576</v>
      </c>
      <c r="I30" s="31">
        <f>ROUND('Sum of Billing Determinants'!J38*'Rate Calculations'!$G$9*(1-'Sum of Billing Determinants'!$AC38), 0)</f>
        <v>53375</v>
      </c>
      <c r="J30" s="31">
        <f>ROUND('Sum of Billing Determinants'!K38*'Rate Calculations'!$G$9*(1-'Sum of Billing Determinants'!$AC38), 0)</f>
        <v>68103</v>
      </c>
      <c r="K30" s="31">
        <f>ROUND('Sum of Billing Determinants'!L38*'Rate Calculations'!$G$9*(1-'Sum of Billing Determinants'!$AC38), 0)</f>
        <v>53395</v>
      </c>
      <c r="L30" s="31">
        <f>ROUND('Sum of Billing Determinants'!M38*'Rate Calculations'!$G$9*(1-'Sum of Billing Determinants'!$AC38), 0)</f>
        <v>51996</v>
      </c>
      <c r="M30" s="31">
        <f>ROUND('Sum of Billing Determinants'!N38*'Rate Calculations'!$G$9*(1-'Sum of Billing Determinants'!$AC38), 0)</f>
        <v>46681</v>
      </c>
      <c r="N30" s="31">
        <f t="shared" si="0"/>
        <v>511544</v>
      </c>
    </row>
    <row r="31" spans="2:14" x14ac:dyDescent="0.3">
      <c r="B31" s="27">
        <f>'Sum of Billing Determinants'!A39</f>
        <v>10080</v>
      </c>
      <c r="C31" s="27" t="str">
        <f>'Sum of Billing Determinants'!B39</f>
        <v>Milton, Town of</v>
      </c>
      <c r="D31" s="31">
        <f>ROUND('Sum of Billing Determinants'!E39*'Rate Calculations'!$G$9*(1-'Sum of Billing Determinants'!$AC39), 0)</f>
        <v>4603</v>
      </c>
      <c r="E31" s="31">
        <f>ROUND('Sum of Billing Determinants'!F39*'Rate Calculations'!$G$9*(1-'Sum of Billing Determinants'!$AC39), 0)</f>
        <v>3837</v>
      </c>
      <c r="F31" s="31">
        <f>ROUND('Sum of Billing Determinants'!G39*'Rate Calculations'!$G$9*(1-'Sum of Billing Determinants'!$AC39), 0)</f>
        <v>3476</v>
      </c>
      <c r="G31" s="31">
        <f>ROUND('Sum of Billing Determinants'!H39*'Rate Calculations'!$G$9*(1-'Sum of Billing Determinants'!$AC39), 0)</f>
        <v>3866</v>
      </c>
      <c r="H31" s="31">
        <f>ROUND('Sum of Billing Determinants'!I39*'Rate Calculations'!$G$9*(1-'Sum of Billing Determinants'!$AC39), 0)</f>
        <v>3148</v>
      </c>
      <c r="I31" s="31">
        <f>ROUND('Sum of Billing Determinants'!J39*'Rate Calculations'!$G$9*(1-'Sum of Billing Determinants'!$AC39), 0)</f>
        <v>4245</v>
      </c>
      <c r="J31" s="31">
        <f>ROUND('Sum of Billing Determinants'!K39*'Rate Calculations'!$G$9*(1-'Sum of Billing Determinants'!$AC39), 0)</f>
        <v>5417</v>
      </c>
      <c r="K31" s="31">
        <f>ROUND('Sum of Billing Determinants'!L39*'Rate Calculations'!$G$9*(1-'Sum of Billing Determinants'!$AC39), 0)</f>
        <v>4247</v>
      </c>
      <c r="L31" s="31">
        <f>ROUND('Sum of Billing Determinants'!M39*'Rate Calculations'!$G$9*(1-'Sum of Billing Determinants'!$AC39), 0)</f>
        <v>4136</v>
      </c>
      <c r="M31" s="31">
        <f>ROUND('Sum of Billing Determinants'!N39*'Rate Calculations'!$G$9*(1-'Sum of Billing Determinants'!$AC39), 0)</f>
        <v>3713</v>
      </c>
      <c r="N31" s="31">
        <f t="shared" si="0"/>
        <v>40688</v>
      </c>
    </row>
    <row r="32" spans="2:14" x14ac:dyDescent="0.3">
      <c r="B32" s="27">
        <f>'Sum of Billing Determinants'!A40</f>
        <v>10081</v>
      </c>
      <c r="C32" s="27" t="str">
        <f>'Sum of Billing Determinants'!B40</f>
        <v>Milton-Freewater, City of</v>
      </c>
      <c r="D32" s="31">
        <f>ROUND('Sum of Billing Determinants'!E40*'Rate Calculations'!$G$9*(1-'Sum of Billing Determinants'!$AC40), 0)</f>
        <v>6327</v>
      </c>
      <c r="E32" s="31">
        <f>ROUND('Sum of Billing Determinants'!F40*'Rate Calculations'!$G$9*(1-'Sum of Billing Determinants'!$AC40), 0)</f>
        <v>5274</v>
      </c>
      <c r="F32" s="31">
        <f>ROUND('Sum of Billing Determinants'!G40*'Rate Calculations'!$G$9*(1-'Sum of Billing Determinants'!$AC40), 0)</f>
        <v>4778</v>
      </c>
      <c r="G32" s="31">
        <f>ROUND('Sum of Billing Determinants'!H40*'Rate Calculations'!$G$9*(1-'Sum of Billing Determinants'!$AC40), 0)</f>
        <v>5315</v>
      </c>
      <c r="H32" s="31">
        <f>ROUND('Sum of Billing Determinants'!I40*'Rate Calculations'!$G$9*(1-'Sum of Billing Determinants'!$AC40), 0)</f>
        <v>4327</v>
      </c>
      <c r="I32" s="31">
        <f>ROUND('Sum of Billing Determinants'!J40*'Rate Calculations'!$G$9*(1-'Sum of Billing Determinants'!$AC40), 0)</f>
        <v>5836</v>
      </c>
      <c r="J32" s="31">
        <f>ROUND('Sum of Billing Determinants'!K40*'Rate Calculations'!$G$9*(1-'Sum of Billing Determinants'!$AC40), 0)</f>
        <v>7446</v>
      </c>
      <c r="K32" s="31">
        <f>ROUND('Sum of Billing Determinants'!L40*'Rate Calculations'!$G$9*(1-'Sum of Billing Determinants'!$AC40), 0)</f>
        <v>5838</v>
      </c>
      <c r="L32" s="31">
        <f>ROUND('Sum of Billing Determinants'!M40*'Rate Calculations'!$G$9*(1-'Sum of Billing Determinants'!$AC40), 0)</f>
        <v>5685</v>
      </c>
      <c r="M32" s="31">
        <f>ROUND('Sum of Billing Determinants'!N40*'Rate Calculations'!$G$9*(1-'Sum of Billing Determinants'!$AC40), 0)</f>
        <v>5104</v>
      </c>
      <c r="N32" s="31">
        <f t="shared" si="0"/>
        <v>55930</v>
      </c>
    </row>
    <row r="33" spans="2:14" x14ac:dyDescent="0.3">
      <c r="B33" s="27">
        <f>'Sum of Billing Determinants'!A41</f>
        <v>10082</v>
      </c>
      <c r="C33" s="27" t="str">
        <f>'Sum of Billing Determinants'!B41</f>
        <v>Minidoka, City of</v>
      </c>
      <c r="D33" s="31">
        <f>ROUND('Sum of Billing Determinants'!E41*'Rate Calculations'!$G$9*(1-'Sum of Billing Determinants'!$AC41), 0)</f>
        <v>63</v>
      </c>
      <c r="E33" s="31">
        <f>ROUND('Sum of Billing Determinants'!F41*'Rate Calculations'!$G$9*(1-'Sum of Billing Determinants'!$AC41), 0)</f>
        <v>52</v>
      </c>
      <c r="F33" s="31">
        <f>ROUND('Sum of Billing Determinants'!G41*'Rate Calculations'!$G$9*(1-'Sum of Billing Determinants'!$AC41), 0)</f>
        <v>47</v>
      </c>
      <c r="G33" s="31">
        <f>ROUND('Sum of Billing Determinants'!H41*'Rate Calculations'!$G$9*(1-'Sum of Billing Determinants'!$AC41), 0)</f>
        <v>53</v>
      </c>
      <c r="H33" s="31">
        <f>ROUND('Sum of Billing Determinants'!I41*'Rate Calculations'!$G$9*(1-'Sum of Billing Determinants'!$AC41), 0)</f>
        <v>43</v>
      </c>
      <c r="I33" s="31">
        <f>ROUND('Sum of Billing Determinants'!J41*'Rate Calculations'!$G$9*(1-'Sum of Billing Determinants'!$AC41), 0)</f>
        <v>58</v>
      </c>
      <c r="J33" s="31">
        <f>ROUND('Sum of Billing Determinants'!K41*'Rate Calculations'!$G$9*(1-'Sum of Billing Determinants'!$AC41), 0)</f>
        <v>74</v>
      </c>
      <c r="K33" s="31">
        <f>ROUND('Sum of Billing Determinants'!L41*'Rate Calculations'!$G$9*(1-'Sum of Billing Determinants'!$AC41), 0)</f>
        <v>58</v>
      </c>
      <c r="L33" s="31">
        <f>ROUND('Sum of Billing Determinants'!M41*'Rate Calculations'!$G$9*(1-'Sum of Billing Determinants'!$AC41), 0)</f>
        <v>57</v>
      </c>
      <c r="M33" s="31">
        <f>ROUND('Sum of Billing Determinants'!N41*'Rate Calculations'!$G$9*(1-'Sum of Billing Determinants'!$AC41), 0)</f>
        <v>51</v>
      </c>
      <c r="N33" s="31">
        <f t="shared" si="0"/>
        <v>556</v>
      </c>
    </row>
    <row r="34" spans="2:14" x14ac:dyDescent="0.3">
      <c r="B34" s="27">
        <f>'Sum of Billing Determinants'!A42</f>
        <v>10083</v>
      </c>
      <c r="C34" s="27" t="str">
        <f>'Sum of Billing Determinants'!B42</f>
        <v>Monmouth, City of</v>
      </c>
      <c r="D34" s="31">
        <f>ROUND('Sum of Billing Determinants'!E42*'Rate Calculations'!$G$9*(1-'Sum of Billing Determinants'!$AC42), 0)</f>
        <v>5559</v>
      </c>
      <c r="E34" s="31">
        <f>ROUND('Sum of Billing Determinants'!F42*'Rate Calculations'!$G$9*(1-'Sum of Billing Determinants'!$AC42), 0)</f>
        <v>4633</v>
      </c>
      <c r="F34" s="31">
        <f>ROUND('Sum of Billing Determinants'!G42*'Rate Calculations'!$G$9*(1-'Sum of Billing Determinants'!$AC42), 0)</f>
        <v>4197</v>
      </c>
      <c r="G34" s="31">
        <f>ROUND('Sum of Billing Determinants'!H42*'Rate Calculations'!$G$9*(1-'Sum of Billing Determinants'!$AC42), 0)</f>
        <v>4669</v>
      </c>
      <c r="H34" s="31">
        <f>ROUND('Sum of Billing Determinants'!I42*'Rate Calculations'!$G$9*(1-'Sum of Billing Determinants'!$AC42), 0)</f>
        <v>3801</v>
      </c>
      <c r="I34" s="31">
        <f>ROUND('Sum of Billing Determinants'!J42*'Rate Calculations'!$G$9*(1-'Sum of Billing Determinants'!$AC42), 0)</f>
        <v>5127</v>
      </c>
      <c r="J34" s="31">
        <f>ROUND('Sum of Billing Determinants'!K42*'Rate Calculations'!$G$9*(1-'Sum of Billing Determinants'!$AC42), 0)</f>
        <v>6541</v>
      </c>
      <c r="K34" s="31">
        <f>ROUND('Sum of Billing Determinants'!L42*'Rate Calculations'!$G$9*(1-'Sum of Billing Determinants'!$AC42), 0)</f>
        <v>5129</v>
      </c>
      <c r="L34" s="31">
        <f>ROUND('Sum of Billing Determinants'!M42*'Rate Calculations'!$G$9*(1-'Sum of Billing Determinants'!$AC42), 0)</f>
        <v>4994</v>
      </c>
      <c r="M34" s="31">
        <f>ROUND('Sum of Billing Determinants'!N42*'Rate Calculations'!$G$9*(1-'Sum of Billing Determinants'!$AC42), 0)</f>
        <v>4484</v>
      </c>
      <c r="N34" s="31">
        <f t="shared" si="0"/>
        <v>49134</v>
      </c>
    </row>
    <row r="35" spans="2:14" x14ac:dyDescent="0.3">
      <c r="B35" s="27">
        <f>'Sum of Billing Determinants'!A43</f>
        <v>10086</v>
      </c>
      <c r="C35" s="27" t="str">
        <f>'Sum of Billing Determinants'!B43</f>
        <v>Plummer, City of</v>
      </c>
      <c r="D35" s="31">
        <f>ROUND('Sum of Billing Determinants'!E43*'Rate Calculations'!$G$9*(1-'Sum of Billing Determinants'!$AC43), 0)</f>
        <v>2588</v>
      </c>
      <c r="E35" s="31">
        <f>ROUND('Sum of Billing Determinants'!F43*'Rate Calculations'!$G$9*(1-'Sum of Billing Determinants'!$AC43), 0)</f>
        <v>2157</v>
      </c>
      <c r="F35" s="31">
        <f>ROUND('Sum of Billing Determinants'!G43*'Rate Calculations'!$G$9*(1-'Sum of Billing Determinants'!$AC43), 0)</f>
        <v>1954</v>
      </c>
      <c r="G35" s="31">
        <f>ROUND('Sum of Billing Determinants'!H43*'Rate Calculations'!$G$9*(1-'Sum of Billing Determinants'!$AC43), 0)</f>
        <v>2174</v>
      </c>
      <c r="H35" s="31">
        <f>ROUND('Sum of Billing Determinants'!I43*'Rate Calculations'!$G$9*(1-'Sum of Billing Determinants'!$AC43), 0)</f>
        <v>1770</v>
      </c>
      <c r="I35" s="31">
        <f>ROUND('Sum of Billing Determinants'!J43*'Rate Calculations'!$G$9*(1-'Sum of Billing Determinants'!$AC43), 0)</f>
        <v>2387</v>
      </c>
      <c r="J35" s="31">
        <f>ROUND('Sum of Billing Determinants'!K43*'Rate Calculations'!$G$9*(1-'Sum of Billing Determinants'!$AC43), 0)</f>
        <v>3046</v>
      </c>
      <c r="K35" s="31">
        <f>ROUND('Sum of Billing Determinants'!L43*'Rate Calculations'!$G$9*(1-'Sum of Billing Determinants'!$AC43), 0)</f>
        <v>2388</v>
      </c>
      <c r="L35" s="31">
        <f>ROUND('Sum of Billing Determinants'!M43*'Rate Calculations'!$G$9*(1-'Sum of Billing Determinants'!$AC43), 0)</f>
        <v>2325</v>
      </c>
      <c r="M35" s="31">
        <f>ROUND('Sum of Billing Determinants'!N43*'Rate Calculations'!$G$9*(1-'Sum of Billing Determinants'!$AC43), 0)</f>
        <v>2088</v>
      </c>
      <c r="N35" s="31">
        <f t="shared" si="0"/>
        <v>22877</v>
      </c>
    </row>
    <row r="36" spans="2:14" x14ac:dyDescent="0.3">
      <c r="B36" s="27">
        <f>'Sum of Billing Determinants'!A44</f>
        <v>10087</v>
      </c>
      <c r="C36" s="27" t="str">
        <f>'Sum of Billing Determinants'!B44</f>
        <v>Port Angeles, City of</v>
      </c>
      <c r="D36" s="31">
        <f>ROUND('Sum of Billing Determinants'!E44*'Rate Calculations'!$G$9*(1-'Sum of Billing Determinants'!$AC44), 0)</f>
        <v>20492</v>
      </c>
      <c r="E36" s="31">
        <f>ROUND('Sum of Billing Determinants'!F44*'Rate Calculations'!$G$9*(1-'Sum of Billing Determinants'!$AC44), 0)</f>
        <v>17082</v>
      </c>
      <c r="F36" s="31">
        <f>ROUND('Sum of Billing Determinants'!G44*'Rate Calculations'!$G$9*(1-'Sum of Billing Determinants'!$AC44), 0)</f>
        <v>15474</v>
      </c>
      <c r="G36" s="31">
        <f>ROUND('Sum of Billing Determinants'!H44*'Rate Calculations'!$G$9*(1-'Sum of Billing Determinants'!$AC44), 0)</f>
        <v>17212</v>
      </c>
      <c r="H36" s="31">
        <f>ROUND('Sum of Billing Determinants'!I44*'Rate Calculations'!$G$9*(1-'Sum of Billing Determinants'!$AC44), 0)</f>
        <v>14014</v>
      </c>
      <c r="I36" s="31">
        <f>ROUND('Sum of Billing Determinants'!J44*'Rate Calculations'!$G$9*(1-'Sum of Billing Determinants'!$AC44), 0)</f>
        <v>18900</v>
      </c>
      <c r="J36" s="31">
        <f>ROUND('Sum of Billing Determinants'!K44*'Rate Calculations'!$G$9*(1-'Sum of Billing Determinants'!$AC44), 0)</f>
        <v>24115</v>
      </c>
      <c r="K36" s="31">
        <f>ROUND('Sum of Billing Determinants'!L44*'Rate Calculations'!$G$9*(1-'Sum of Billing Determinants'!$AC44), 0)</f>
        <v>18907</v>
      </c>
      <c r="L36" s="31">
        <f>ROUND('Sum of Billing Determinants'!M44*'Rate Calculations'!$G$9*(1-'Sum of Billing Determinants'!$AC44), 0)</f>
        <v>18412</v>
      </c>
      <c r="M36" s="31">
        <f>ROUND('Sum of Billing Determinants'!N44*'Rate Calculations'!$G$9*(1-'Sum of Billing Determinants'!$AC44), 0)</f>
        <v>16530</v>
      </c>
      <c r="N36" s="31">
        <f t="shared" si="0"/>
        <v>181138</v>
      </c>
    </row>
    <row r="37" spans="2:14" x14ac:dyDescent="0.3">
      <c r="B37" s="27">
        <f>'Sum of Billing Determinants'!A45</f>
        <v>10089</v>
      </c>
      <c r="C37" s="27" t="str">
        <f>'Sum of Billing Determinants'!B45</f>
        <v>Richland, City of</v>
      </c>
      <c r="D37" s="31">
        <f>ROUND('Sum of Billing Determinants'!E45*'Rate Calculations'!$G$9*(1-'Sum of Billing Determinants'!$AC45), 0)</f>
        <v>69027</v>
      </c>
      <c r="E37" s="31">
        <f>ROUND('Sum of Billing Determinants'!F45*'Rate Calculations'!$G$9*(1-'Sum of Billing Determinants'!$AC45), 0)</f>
        <v>57538</v>
      </c>
      <c r="F37" s="31">
        <f>ROUND('Sum of Billing Determinants'!G45*'Rate Calculations'!$G$9*(1-'Sum of Billing Determinants'!$AC45), 0)</f>
        <v>52124</v>
      </c>
      <c r="G37" s="31">
        <f>ROUND('Sum of Billing Determinants'!H45*'Rate Calculations'!$G$9*(1-'Sum of Billing Determinants'!$AC45), 0)</f>
        <v>57978</v>
      </c>
      <c r="H37" s="31">
        <f>ROUND('Sum of Billing Determinants'!I45*'Rate Calculations'!$G$9*(1-'Sum of Billing Determinants'!$AC45), 0)</f>
        <v>47206</v>
      </c>
      <c r="I37" s="31">
        <f>ROUND('Sum of Billing Determinants'!J45*'Rate Calculations'!$G$9*(1-'Sum of Billing Determinants'!$AC45), 0)</f>
        <v>63664</v>
      </c>
      <c r="J37" s="31">
        <f>ROUND('Sum of Billing Determinants'!K45*'Rate Calculations'!$G$9*(1-'Sum of Billing Determinants'!$AC45), 0)</f>
        <v>81231</v>
      </c>
      <c r="K37" s="31">
        <f>ROUND('Sum of Billing Determinants'!L45*'Rate Calculations'!$G$9*(1-'Sum of Billing Determinants'!$AC45), 0)</f>
        <v>63688</v>
      </c>
      <c r="L37" s="31">
        <f>ROUND('Sum of Billing Determinants'!M45*'Rate Calculations'!$G$9*(1-'Sum of Billing Determinants'!$AC45), 0)</f>
        <v>62019</v>
      </c>
      <c r="M37" s="31">
        <f>ROUND('Sum of Billing Determinants'!N45*'Rate Calculations'!$G$9*(1-'Sum of Billing Determinants'!$AC45), 0)</f>
        <v>55680</v>
      </c>
      <c r="N37" s="31">
        <f t="shared" si="0"/>
        <v>610155</v>
      </c>
    </row>
    <row r="38" spans="2:14" x14ac:dyDescent="0.3">
      <c r="B38" s="27">
        <f>'Sum of Billing Determinants'!A46</f>
        <v>10091</v>
      </c>
      <c r="C38" s="27" t="str">
        <f>'Sum of Billing Determinants'!B46</f>
        <v>Rupert, City of</v>
      </c>
      <c r="D38" s="31">
        <f>ROUND('Sum of Billing Determinants'!E46*'Rate Calculations'!$G$9*(1-'Sum of Billing Determinants'!$AC46), 0)</f>
        <v>6263</v>
      </c>
      <c r="E38" s="31">
        <f>ROUND('Sum of Billing Determinants'!F46*'Rate Calculations'!$G$9*(1-'Sum of Billing Determinants'!$AC46), 0)</f>
        <v>5220</v>
      </c>
      <c r="F38" s="31">
        <f>ROUND('Sum of Billing Determinants'!G46*'Rate Calculations'!$G$9*(1-'Sum of Billing Determinants'!$AC46), 0)</f>
        <v>4729</v>
      </c>
      <c r="G38" s="31">
        <f>ROUND('Sum of Billing Determinants'!H46*'Rate Calculations'!$G$9*(1-'Sum of Billing Determinants'!$AC46), 0)</f>
        <v>5260</v>
      </c>
      <c r="H38" s="31">
        <f>ROUND('Sum of Billing Determinants'!I46*'Rate Calculations'!$G$9*(1-'Sum of Billing Determinants'!$AC46), 0)</f>
        <v>4283</v>
      </c>
      <c r="I38" s="31">
        <f>ROUND('Sum of Billing Determinants'!J46*'Rate Calculations'!$G$9*(1-'Sum of Billing Determinants'!$AC46), 0)</f>
        <v>5776</v>
      </c>
      <c r="J38" s="31">
        <f>ROUND('Sum of Billing Determinants'!K46*'Rate Calculations'!$G$9*(1-'Sum of Billing Determinants'!$AC46), 0)</f>
        <v>7370</v>
      </c>
      <c r="K38" s="31">
        <f>ROUND('Sum of Billing Determinants'!L46*'Rate Calculations'!$G$9*(1-'Sum of Billing Determinants'!$AC46), 0)</f>
        <v>5778</v>
      </c>
      <c r="L38" s="31">
        <f>ROUND('Sum of Billing Determinants'!M46*'Rate Calculations'!$G$9*(1-'Sum of Billing Determinants'!$AC46), 0)</f>
        <v>5627</v>
      </c>
      <c r="M38" s="31">
        <f>ROUND('Sum of Billing Determinants'!N46*'Rate Calculations'!$G$9*(1-'Sum of Billing Determinants'!$AC46), 0)</f>
        <v>5052</v>
      </c>
      <c r="N38" s="31">
        <f t="shared" si="0"/>
        <v>55358</v>
      </c>
    </row>
    <row r="39" spans="2:14" x14ac:dyDescent="0.3">
      <c r="B39" s="27">
        <f>'Sum of Billing Determinants'!A47</f>
        <v>10094</v>
      </c>
      <c r="C39" s="27" t="str">
        <f>'Sum of Billing Determinants'!B47</f>
        <v>Soda Springs, City of</v>
      </c>
      <c r="D39" s="31">
        <f>ROUND('Sum of Billing Determinants'!E47*'Rate Calculations'!$G$9*(1-'Sum of Billing Determinants'!$AC47), 0)</f>
        <v>2019</v>
      </c>
      <c r="E39" s="31">
        <f>ROUND('Sum of Billing Determinants'!F47*'Rate Calculations'!$G$9*(1-'Sum of Billing Determinants'!$AC47), 0)</f>
        <v>1683</v>
      </c>
      <c r="F39" s="31">
        <f>ROUND('Sum of Billing Determinants'!G47*'Rate Calculations'!$G$9*(1-'Sum of Billing Determinants'!$AC47), 0)</f>
        <v>1524</v>
      </c>
      <c r="G39" s="31">
        <f>ROUND('Sum of Billing Determinants'!H47*'Rate Calculations'!$G$9*(1-'Sum of Billing Determinants'!$AC47), 0)</f>
        <v>1696</v>
      </c>
      <c r="H39" s="31">
        <f>ROUND('Sum of Billing Determinants'!I47*'Rate Calculations'!$G$9*(1-'Sum of Billing Determinants'!$AC47), 0)</f>
        <v>1381</v>
      </c>
      <c r="I39" s="31">
        <f>ROUND('Sum of Billing Determinants'!J47*'Rate Calculations'!$G$9*(1-'Sum of Billing Determinants'!$AC47), 0)</f>
        <v>1862</v>
      </c>
      <c r="J39" s="31">
        <f>ROUND('Sum of Billing Determinants'!K47*'Rate Calculations'!$G$9*(1-'Sum of Billing Determinants'!$AC47), 0)</f>
        <v>2376</v>
      </c>
      <c r="K39" s="31">
        <f>ROUND('Sum of Billing Determinants'!L47*'Rate Calculations'!$G$9*(1-'Sum of Billing Determinants'!$AC47), 0)</f>
        <v>1863</v>
      </c>
      <c r="L39" s="31">
        <f>ROUND('Sum of Billing Determinants'!M47*'Rate Calculations'!$G$9*(1-'Sum of Billing Determinants'!$AC47), 0)</f>
        <v>1814</v>
      </c>
      <c r="M39" s="31">
        <f>ROUND('Sum of Billing Determinants'!N47*'Rate Calculations'!$G$9*(1-'Sum of Billing Determinants'!$AC47), 0)</f>
        <v>1628</v>
      </c>
      <c r="N39" s="31">
        <f t="shared" si="0"/>
        <v>17846</v>
      </c>
    </row>
    <row r="40" spans="2:14" x14ac:dyDescent="0.3">
      <c r="B40" s="27">
        <f>'Sum of Billing Determinants'!A48</f>
        <v>10095</v>
      </c>
      <c r="C40" s="27" t="str">
        <f>'Sum of Billing Determinants'!B48</f>
        <v>Sumas, Town of</v>
      </c>
      <c r="D40" s="31">
        <f>ROUND('Sum of Billing Determinants'!E48*'Rate Calculations'!$G$9*(1-'Sum of Billing Determinants'!$AC48), 0)</f>
        <v>2421</v>
      </c>
      <c r="E40" s="31">
        <f>ROUND('Sum of Billing Determinants'!F48*'Rate Calculations'!$G$9*(1-'Sum of Billing Determinants'!$AC48), 0)</f>
        <v>2018</v>
      </c>
      <c r="F40" s="31">
        <f>ROUND('Sum of Billing Determinants'!G48*'Rate Calculations'!$G$9*(1-'Sum of Billing Determinants'!$AC48), 0)</f>
        <v>1828</v>
      </c>
      <c r="G40" s="31">
        <f>ROUND('Sum of Billing Determinants'!H48*'Rate Calculations'!$G$9*(1-'Sum of Billing Determinants'!$AC48), 0)</f>
        <v>2033</v>
      </c>
      <c r="H40" s="31">
        <f>ROUND('Sum of Billing Determinants'!I48*'Rate Calculations'!$G$9*(1-'Sum of Billing Determinants'!$AC48), 0)</f>
        <v>1656</v>
      </c>
      <c r="I40" s="31">
        <f>ROUND('Sum of Billing Determinants'!J48*'Rate Calculations'!$G$9*(1-'Sum of Billing Determinants'!$AC48), 0)</f>
        <v>2233</v>
      </c>
      <c r="J40" s="31">
        <f>ROUND('Sum of Billing Determinants'!K48*'Rate Calculations'!$G$9*(1-'Sum of Billing Determinants'!$AC48), 0)</f>
        <v>2849</v>
      </c>
      <c r="K40" s="31">
        <f>ROUND('Sum of Billing Determinants'!L48*'Rate Calculations'!$G$9*(1-'Sum of Billing Determinants'!$AC48), 0)</f>
        <v>2234</v>
      </c>
      <c r="L40" s="31">
        <f>ROUND('Sum of Billing Determinants'!M48*'Rate Calculations'!$G$9*(1-'Sum of Billing Determinants'!$AC48), 0)</f>
        <v>2175</v>
      </c>
      <c r="M40" s="31">
        <f>ROUND('Sum of Billing Determinants'!N48*'Rate Calculations'!$G$9*(1-'Sum of Billing Determinants'!$AC48), 0)</f>
        <v>1953</v>
      </c>
      <c r="N40" s="31">
        <f t="shared" si="0"/>
        <v>21400</v>
      </c>
    </row>
    <row r="41" spans="2:14" x14ac:dyDescent="0.3">
      <c r="B41" s="27">
        <f>'Sum of Billing Determinants'!A49</f>
        <v>10097</v>
      </c>
      <c r="C41" s="27" t="str">
        <f>'Sum of Billing Determinants'!B49</f>
        <v>Troy, City of</v>
      </c>
      <c r="D41" s="31">
        <f>ROUND('Sum of Billing Determinants'!E49*'Rate Calculations'!$G$9*(1-'Sum of Billing Determinants'!$AC49), 0)</f>
        <v>1344</v>
      </c>
      <c r="E41" s="31">
        <f>ROUND('Sum of Billing Determinants'!F49*'Rate Calculations'!$G$9*(1-'Sum of Billing Determinants'!$AC49), 0)</f>
        <v>1120</v>
      </c>
      <c r="F41" s="31">
        <f>ROUND('Sum of Billing Determinants'!G49*'Rate Calculations'!$G$9*(1-'Sum of Billing Determinants'!$AC49), 0)</f>
        <v>1015</v>
      </c>
      <c r="G41" s="31">
        <f>ROUND('Sum of Billing Determinants'!H49*'Rate Calculations'!$G$9*(1-'Sum of Billing Determinants'!$AC49), 0)</f>
        <v>1129</v>
      </c>
      <c r="H41" s="31">
        <f>ROUND('Sum of Billing Determinants'!I49*'Rate Calculations'!$G$9*(1-'Sum of Billing Determinants'!$AC49), 0)</f>
        <v>919</v>
      </c>
      <c r="I41" s="31">
        <f>ROUND('Sum of Billing Determinants'!J49*'Rate Calculations'!$G$9*(1-'Sum of Billing Determinants'!$AC49), 0)</f>
        <v>1239</v>
      </c>
      <c r="J41" s="31">
        <f>ROUND('Sum of Billing Determinants'!K49*'Rate Calculations'!$G$9*(1-'Sum of Billing Determinants'!$AC49), 0)</f>
        <v>1581</v>
      </c>
      <c r="K41" s="31">
        <f>ROUND('Sum of Billing Determinants'!L49*'Rate Calculations'!$G$9*(1-'Sum of Billing Determinants'!$AC49), 0)</f>
        <v>1240</v>
      </c>
      <c r="L41" s="31">
        <f>ROUND('Sum of Billing Determinants'!M49*'Rate Calculations'!$G$9*(1-'Sum of Billing Determinants'!$AC49), 0)</f>
        <v>1207</v>
      </c>
      <c r="M41" s="31">
        <f>ROUND('Sum of Billing Determinants'!N49*'Rate Calculations'!$G$9*(1-'Sum of Billing Determinants'!$AC49), 0)</f>
        <v>1084</v>
      </c>
      <c r="N41" s="31">
        <f t="shared" si="0"/>
        <v>11878</v>
      </c>
    </row>
    <row r="42" spans="2:14" x14ac:dyDescent="0.3">
      <c r="B42" s="27">
        <f>'Sum of Billing Determinants'!A50</f>
        <v>10101</v>
      </c>
      <c r="C42" s="27" t="str">
        <f>'Sum of Billing Determinants'!B50</f>
        <v>Clallam County PUD #1</v>
      </c>
      <c r="D42" s="31">
        <f>ROUND('Sum of Billing Determinants'!E50*'Rate Calculations'!$G$9*(1-'Sum of Billing Determinants'!$AC50), 0)</f>
        <v>47946</v>
      </c>
      <c r="E42" s="31">
        <f>ROUND('Sum of Billing Determinants'!F50*'Rate Calculations'!$G$9*(1-'Sum of Billing Determinants'!$AC50), 0)</f>
        <v>39966</v>
      </c>
      <c r="F42" s="31">
        <f>ROUND('Sum of Billing Determinants'!G50*'Rate Calculations'!$G$9*(1-'Sum of Billing Determinants'!$AC50), 0)</f>
        <v>36205</v>
      </c>
      <c r="G42" s="31">
        <f>ROUND('Sum of Billing Determinants'!H50*'Rate Calculations'!$G$9*(1-'Sum of Billing Determinants'!$AC50), 0)</f>
        <v>40272</v>
      </c>
      <c r="H42" s="31">
        <f>ROUND('Sum of Billing Determinants'!I50*'Rate Calculations'!$G$9*(1-'Sum of Billing Determinants'!$AC50), 0)</f>
        <v>32789</v>
      </c>
      <c r="I42" s="31">
        <f>ROUND('Sum of Billing Determinants'!J50*'Rate Calculations'!$G$9*(1-'Sum of Billing Determinants'!$AC50), 0)</f>
        <v>44221</v>
      </c>
      <c r="J42" s="31">
        <f>ROUND('Sum of Billing Determinants'!K50*'Rate Calculations'!$G$9*(1-'Sum of Billing Determinants'!$AC50), 0)</f>
        <v>56423</v>
      </c>
      <c r="K42" s="31">
        <f>ROUND('Sum of Billing Determinants'!L50*'Rate Calculations'!$G$9*(1-'Sum of Billing Determinants'!$AC50), 0)</f>
        <v>44238</v>
      </c>
      <c r="L42" s="31">
        <f>ROUND('Sum of Billing Determinants'!M50*'Rate Calculations'!$G$9*(1-'Sum of Billing Determinants'!$AC50), 0)</f>
        <v>43079</v>
      </c>
      <c r="M42" s="31">
        <f>ROUND('Sum of Billing Determinants'!N50*'Rate Calculations'!$G$9*(1-'Sum of Billing Determinants'!$AC50), 0)</f>
        <v>38676</v>
      </c>
      <c r="N42" s="31">
        <f t="shared" si="0"/>
        <v>423815</v>
      </c>
    </row>
    <row r="43" spans="2:14" x14ac:dyDescent="0.3">
      <c r="B43" s="27">
        <f>'Sum of Billing Determinants'!A51</f>
        <v>10103</v>
      </c>
      <c r="C43" s="27" t="str">
        <f>'Sum of Billing Determinants'!B51</f>
        <v>Clark County PUD #1</v>
      </c>
      <c r="D43" s="31">
        <f>ROUND('Sum of Billing Determinants'!E51*'Rate Calculations'!$G$9*(1-'Sum of Billing Determinants'!$AC51), 0)</f>
        <v>101966</v>
      </c>
      <c r="E43" s="31">
        <f>ROUND('Sum of Billing Determinants'!F51*'Rate Calculations'!$G$9*(1-'Sum of Billing Determinants'!$AC51), 0)</f>
        <v>84995</v>
      </c>
      <c r="F43" s="31">
        <f>ROUND('Sum of Billing Determinants'!G51*'Rate Calculations'!$G$9*(1-'Sum of Billing Determinants'!$AC51), 0)</f>
        <v>76997</v>
      </c>
      <c r="G43" s="31">
        <f>ROUND('Sum of Billing Determinants'!H51*'Rate Calculations'!$G$9*(1-'Sum of Billing Determinants'!$AC51), 0)</f>
        <v>85645</v>
      </c>
      <c r="H43" s="31">
        <f>ROUND('Sum of Billing Determinants'!I51*'Rate Calculations'!$G$9*(1-'Sum of Billing Determinants'!$AC51), 0)</f>
        <v>69732</v>
      </c>
      <c r="I43" s="31">
        <f>ROUND('Sum of Billing Determinants'!J51*'Rate Calculations'!$G$9*(1-'Sum of Billing Determinants'!$AC51), 0)</f>
        <v>94044</v>
      </c>
      <c r="J43" s="31">
        <f>ROUND('Sum of Billing Determinants'!K51*'Rate Calculations'!$G$9*(1-'Sum of Billing Determinants'!$AC51), 0)</f>
        <v>119994</v>
      </c>
      <c r="K43" s="31">
        <f>ROUND('Sum of Billing Determinants'!L51*'Rate Calculations'!$G$9*(1-'Sum of Billing Determinants'!$AC51), 0)</f>
        <v>94079</v>
      </c>
      <c r="L43" s="31">
        <f>ROUND('Sum of Billing Determinants'!M51*'Rate Calculations'!$G$9*(1-'Sum of Billing Determinants'!$AC51), 0)</f>
        <v>91614</v>
      </c>
      <c r="M43" s="31">
        <f>ROUND('Sum of Billing Determinants'!N51*'Rate Calculations'!$G$9*(1-'Sum of Billing Determinants'!$AC51), 0)</f>
        <v>82250</v>
      </c>
      <c r="N43" s="31">
        <f t="shared" si="0"/>
        <v>901316</v>
      </c>
    </row>
    <row r="44" spans="2:14" x14ac:dyDescent="0.3">
      <c r="B44" s="27">
        <f>'Sum of Billing Determinants'!A52</f>
        <v>10105</v>
      </c>
      <c r="C44" s="27" t="str">
        <f>'Sum of Billing Determinants'!B52</f>
        <v>Clatskanie PUD</v>
      </c>
      <c r="D44" s="31">
        <f>ROUND('Sum of Billing Determinants'!E52*'Rate Calculations'!$G$9*(1-'Sum of Billing Determinants'!$AC52), 0)</f>
        <v>22615</v>
      </c>
      <c r="E44" s="31">
        <f>ROUND('Sum of Billing Determinants'!F52*'Rate Calculations'!$G$9*(1-'Sum of Billing Determinants'!$AC52), 0)</f>
        <v>18851</v>
      </c>
      <c r="F44" s="31">
        <f>ROUND('Sum of Billing Determinants'!G52*'Rate Calculations'!$G$9*(1-'Sum of Billing Determinants'!$AC52), 0)</f>
        <v>17077</v>
      </c>
      <c r="G44" s="31">
        <f>ROUND('Sum of Billing Determinants'!H52*'Rate Calculations'!$G$9*(1-'Sum of Billing Determinants'!$AC52), 0)</f>
        <v>18995</v>
      </c>
      <c r="H44" s="31">
        <f>ROUND('Sum of Billing Determinants'!I52*'Rate Calculations'!$G$9*(1-'Sum of Billing Determinants'!$AC52), 0)</f>
        <v>15466</v>
      </c>
      <c r="I44" s="31">
        <f>ROUND('Sum of Billing Determinants'!J52*'Rate Calculations'!$G$9*(1-'Sum of Billing Determinants'!$AC52), 0)</f>
        <v>20858</v>
      </c>
      <c r="J44" s="31">
        <f>ROUND('Sum of Billing Determinants'!K52*'Rate Calculations'!$G$9*(1-'Sum of Billing Determinants'!$AC52), 0)</f>
        <v>26614</v>
      </c>
      <c r="K44" s="31">
        <f>ROUND('Sum of Billing Determinants'!L52*'Rate Calculations'!$G$9*(1-'Sum of Billing Determinants'!$AC52), 0)</f>
        <v>20866</v>
      </c>
      <c r="L44" s="31">
        <f>ROUND('Sum of Billing Determinants'!M52*'Rate Calculations'!$G$9*(1-'Sum of Billing Determinants'!$AC52), 0)</f>
        <v>20319</v>
      </c>
      <c r="M44" s="31">
        <f>ROUND('Sum of Billing Determinants'!N52*'Rate Calculations'!$G$9*(1-'Sum of Billing Determinants'!$AC52), 0)</f>
        <v>18242</v>
      </c>
      <c r="N44" s="31">
        <f t="shared" si="0"/>
        <v>199903</v>
      </c>
    </row>
    <row r="45" spans="2:14" x14ac:dyDescent="0.3">
      <c r="B45" s="27">
        <f>'Sum of Billing Determinants'!A53</f>
        <v>10106</v>
      </c>
      <c r="C45" s="27" t="str">
        <f>'Sum of Billing Determinants'!B53</f>
        <v>Clearwater Power</v>
      </c>
      <c r="D45" s="31">
        <f>ROUND('Sum of Billing Determinants'!E53*'Rate Calculations'!$G$9*(1-'Sum of Billing Determinants'!$AC53), 0)</f>
        <v>14715</v>
      </c>
      <c r="E45" s="31">
        <f>ROUND('Sum of Billing Determinants'!F53*'Rate Calculations'!$G$9*(1-'Sum of Billing Determinants'!$AC53), 0)</f>
        <v>12266</v>
      </c>
      <c r="F45" s="31">
        <f>ROUND('Sum of Billing Determinants'!G53*'Rate Calculations'!$G$9*(1-'Sum of Billing Determinants'!$AC53), 0)</f>
        <v>11112</v>
      </c>
      <c r="G45" s="31">
        <f>ROUND('Sum of Billing Determinants'!H53*'Rate Calculations'!$G$9*(1-'Sum of Billing Determinants'!$AC53), 0)</f>
        <v>12360</v>
      </c>
      <c r="H45" s="31">
        <f>ROUND('Sum of Billing Determinants'!I53*'Rate Calculations'!$G$9*(1-'Sum of Billing Determinants'!$AC53), 0)</f>
        <v>10063</v>
      </c>
      <c r="I45" s="31">
        <f>ROUND('Sum of Billing Determinants'!J53*'Rate Calculations'!$G$9*(1-'Sum of Billing Determinants'!$AC53), 0)</f>
        <v>13572</v>
      </c>
      <c r="J45" s="31">
        <f>ROUND('Sum of Billing Determinants'!K53*'Rate Calculations'!$G$9*(1-'Sum of Billing Determinants'!$AC53), 0)</f>
        <v>17317</v>
      </c>
      <c r="K45" s="31">
        <f>ROUND('Sum of Billing Determinants'!L53*'Rate Calculations'!$G$9*(1-'Sum of Billing Determinants'!$AC53), 0)</f>
        <v>13577</v>
      </c>
      <c r="L45" s="31">
        <f>ROUND('Sum of Billing Determinants'!M53*'Rate Calculations'!$G$9*(1-'Sum of Billing Determinants'!$AC53), 0)</f>
        <v>13221</v>
      </c>
      <c r="M45" s="31">
        <f>ROUND('Sum of Billing Determinants'!N53*'Rate Calculations'!$G$9*(1-'Sum of Billing Determinants'!$AC53), 0)</f>
        <v>11870</v>
      </c>
      <c r="N45" s="31">
        <f t="shared" si="0"/>
        <v>130073</v>
      </c>
    </row>
    <row r="46" spans="2:14" x14ac:dyDescent="0.3">
      <c r="B46" s="27">
        <f>'Sum of Billing Determinants'!A54</f>
        <v>10109</v>
      </c>
      <c r="C46" s="27" t="str">
        <f>'Sum of Billing Determinants'!B54</f>
        <v>Columbia Basin Elec Coop</v>
      </c>
      <c r="D46" s="31">
        <f>ROUND('Sum of Billing Determinants'!E54*'Rate Calculations'!$G$9*(1-'Sum of Billing Determinants'!$AC54), 0)</f>
        <v>7416</v>
      </c>
      <c r="E46" s="31">
        <f>ROUND('Sum of Billing Determinants'!F54*'Rate Calculations'!$G$9*(1-'Sum of Billing Determinants'!$AC54), 0)</f>
        <v>6182</v>
      </c>
      <c r="F46" s="31">
        <f>ROUND('Sum of Billing Determinants'!G54*'Rate Calculations'!$G$9*(1-'Sum of Billing Determinants'!$AC54), 0)</f>
        <v>5600</v>
      </c>
      <c r="G46" s="31">
        <f>ROUND('Sum of Billing Determinants'!H54*'Rate Calculations'!$G$9*(1-'Sum of Billing Determinants'!$AC54), 0)</f>
        <v>6229</v>
      </c>
      <c r="H46" s="31">
        <f>ROUND('Sum of Billing Determinants'!I54*'Rate Calculations'!$G$9*(1-'Sum of Billing Determinants'!$AC54), 0)</f>
        <v>5072</v>
      </c>
      <c r="I46" s="31">
        <f>ROUND('Sum of Billing Determinants'!J54*'Rate Calculations'!$G$9*(1-'Sum of Billing Determinants'!$AC54), 0)</f>
        <v>6840</v>
      </c>
      <c r="J46" s="31">
        <f>ROUND('Sum of Billing Determinants'!K54*'Rate Calculations'!$G$9*(1-'Sum of Billing Determinants'!$AC54), 0)</f>
        <v>8727</v>
      </c>
      <c r="K46" s="31">
        <f>ROUND('Sum of Billing Determinants'!L54*'Rate Calculations'!$G$9*(1-'Sum of Billing Determinants'!$AC54), 0)</f>
        <v>6842</v>
      </c>
      <c r="L46" s="31">
        <f>ROUND('Sum of Billing Determinants'!M54*'Rate Calculations'!$G$9*(1-'Sum of Billing Determinants'!$AC54), 0)</f>
        <v>6663</v>
      </c>
      <c r="M46" s="31">
        <f>ROUND('Sum of Billing Determinants'!N54*'Rate Calculations'!$G$9*(1-'Sum of Billing Determinants'!$AC54), 0)</f>
        <v>5982</v>
      </c>
      <c r="N46" s="31">
        <f t="shared" si="0"/>
        <v>65553</v>
      </c>
    </row>
    <row r="47" spans="2:14" x14ac:dyDescent="0.3">
      <c r="B47" s="27">
        <f>'Sum of Billing Determinants'!A55</f>
        <v>10111</v>
      </c>
      <c r="C47" s="27" t="str">
        <f>'Sum of Billing Determinants'!B55</f>
        <v>Columbia Power Coop</v>
      </c>
      <c r="D47" s="31">
        <f>ROUND('Sum of Billing Determinants'!E55*'Rate Calculations'!$G$9*(1-'Sum of Billing Determinants'!$AC55), 0)</f>
        <v>1893</v>
      </c>
      <c r="E47" s="31">
        <f>ROUND('Sum of Billing Determinants'!F55*'Rate Calculations'!$G$9*(1-'Sum of Billing Determinants'!$AC55), 0)</f>
        <v>1578</v>
      </c>
      <c r="F47" s="31">
        <f>ROUND('Sum of Billing Determinants'!G55*'Rate Calculations'!$G$9*(1-'Sum of Billing Determinants'!$AC55), 0)</f>
        <v>1429</v>
      </c>
      <c r="G47" s="31">
        <f>ROUND('Sum of Billing Determinants'!H55*'Rate Calculations'!$G$9*(1-'Sum of Billing Determinants'!$AC55), 0)</f>
        <v>1590</v>
      </c>
      <c r="H47" s="31">
        <f>ROUND('Sum of Billing Determinants'!I55*'Rate Calculations'!$G$9*(1-'Sum of Billing Determinants'!$AC55), 0)</f>
        <v>1294</v>
      </c>
      <c r="I47" s="31">
        <f>ROUND('Sum of Billing Determinants'!J55*'Rate Calculations'!$G$9*(1-'Sum of Billing Determinants'!$AC55), 0)</f>
        <v>1746</v>
      </c>
      <c r="J47" s="31">
        <f>ROUND('Sum of Billing Determinants'!K55*'Rate Calculations'!$G$9*(1-'Sum of Billing Determinants'!$AC55), 0)</f>
        <v>2227</v>
      </c>
      <c r="K47" s="31">
        <f>ROUND('Sum of Billing Determinants'!L55*'Rate Calculations'!$G$9*(1-'Sum of Billing Determinants'!$AC55), 0)</f>
        <v>1746</v>
      </c>
      <c r="L47" s="31">
        <f>ROUND('Sum of Billing Determinants'!M55*'Rate Calculations'!$G$9*(1-'Sum of Billing Determinants'!$AC55), 0)</f>
        <v>1701</v>
      </c>
      <c r="M47" s="31">
        <f>ROUND('Sum of Billing Determinants'!N55*'Rate Calculations'!$G$9*(1-'Sum of Billing Determinants'!$AC55), 0)</f>
        <v>1527</v>
      </c>
      <c r="N47" s="31">
        <f t="shared" si="0"/>
        <v>16731</v>
      </c>
    </row>
    <row r="48" spans="2:14" x14ac:dyDescent="0.3">
      <c r="B48" s="27">
        <f>'Sum of Billing Determinants'!A56</f>
        <v>10112</v>
      </c>
      <c r="C48" s="27" t="str">
        <f>'Sum of Billing Determinants'!B56</f>
        <v>Columbia River PUD</v>
      </c>
      <c r="D48" s="31">
        <f>ROUND('Sum of Billing Determinants'!E56*'Rate Calculations'!$G$9*(1-'Sum of Billing Determinants'!$AC56), 0)</f>
        <v>36402</v>
      </c>
      <c r="E48" s="31">
        <f>ROUND('Sum of Billing Determinants'!F56*'Rate Calculations'!$G$9*(1-'Sum of Billing Determinants'!$AC56), 0)</f>
        <v>30343</v>
      </c>
      <c r="F48" s="31">
        <f>ROUND('Sum of Billing Determinants'!G56*'Rate Calculations'!$G$9*(1-'Sum of Billing Determinants'!$AC56), 0)</f>
        <v>27488</v>
      </c>
      <c r="G48" s="31">
        <f>ROUND('Sum of Billing Determinants'!H56*'Rate Calculations'!$G$9*(1-'Sum of Billing Determinants'!$AC56), 0)</f>
        <v>30575</v>
      </c>
      <c r="H48" s="31">
        <f>ROUND('Sum of Billing Determinants'!I56*'Rate Calculations'!$G$9*(1-'Sum of Billing Determinants'!$AC56), 0)</f>
        <v>24894</v>
      </c>
      <c r="I48" s="31">
        <f>ROUND('Sum of Billing Determinants'!J56*'Rate Calculations'!$G$9*(1-'Sum of Billing Determinants'!$AC56), 0)</f>
        <v>33574</v>
      </c>
      <c r="J48" s="31">
        <f>ROUND('Sum of Billing Determinants'!K56*'Rate Calculations'!$G$9*(1-'Sum of Billing Determinants'!$AC56), 0)</f>
        <v>42838</v>
      </c>
      <c r="K48" s="31">
        <f>ROUND('Sum of Billing Determinants'!L56*'Rate Calculations'!$G$9*(1-'Sum of Billing Determinants'!$AC56), 0)</f>
        <v>33586</v>
      </c>
      <c r="L48" s="31">
        <f>ROUND('Sum of Billing Determinants'!M56*'Rate Calculations'!$G$9*(1-'Sum of Billing Determinants'!$AC56), 0)</f>
        <v>32706</v>
      </c>
      <c r="M48" s="31">
        <f>ROUND('Sum of Billing Determinants'!N56*'Rate Calculations'!$G$9*(1-'Sum of Billing Determinants'!$AC56), 0)</f>
        <v>29363</v>
      </c>
      <c r="N48" s="31">
        <f t="shared" si="0"/>
        <v>321769</v>
      </c>
    </row>
    <row r="49" spans="2:14" x14ac:dyDescent="0.3">
      <c r="B49" s="27">
        <f>'Sum of Billing Determinants'!A57</f>
        <v>10113</v>
      </c>
      <c r="C49" s="27" t="str">
        <f>'Sum of Billing Determinants'!B57</f>
        <v>Columbia REA</v>
      </c>
      <c r="D49" s="31">
        <f>ROUND('Sum of Billing Determinants'!E57*'Rate Calculations'!$G$9*(1-'Sum of Billing Determinants'!$AC57), 0)</f>
        <v>23005</v>
      </c>
      <c r="E49" s="31">
        <f>ROUND('Sum of Billing Determinants'!F57*'Rate Calculations'!$G$9*(1-'Sum of Billing Determinants'!$AC57), 0)</f>
        <v>19176</v>
      </c>
      <c r="F49" s="31">
        <f>ROUND('Sum of Billing Determinants'!G57*'Rate Calculations'!$G$9*(1-'Sum of Billing Determinants'!$AC57), 0)</f>
        <v>17372</v>
      </c>
      <c r="G49" s="31">
        <f>ROUND('Sum of Billing Determinants'!H57*'Rate Calculations'!$G$9*(1-'Sum of Billing Determinants'!$AC57), 0)</f>
        <v>19323</v>
      </c>
      <c r="H49" s="31">
        <f>ROUND('Sum of Billing Determinants'!I57*'Rate Calculations'!$G$9*(1-'Sum of Billing Determinants'!$AC57), 0)</f>
        <v>15733</v>
      </c>
      <c r="I49" s="31">
        <f>ROUND('Sum of Billing Determinants'!J57*'Rate Calculations'!$G$9*(1-'Sum of Billing Determinants'!$AC57), 0)</f>
        <v>21218</v>
      </c>
      <c r="J49" s="31">
        <f>ROUND('Sum of Billing Determinants'!K57*'Rate Calculations'!$G$9*(1-'Sum of Billing Determinants'!$AC57), 0)</f>
        <v>27073</v>
      </c>
      <c r="K49" s="31">
        <f>ROUND('Sum of Billing Determinants'!L57*'Rate Calculations'!$G$9*(1-'Sum of Billing Determinants'!$AC57), 0)</f>
        <v>21226</v>
      </c>
      <c r="L49" s="31">
        <f>ROUND('Sum of Billing Determinants'!M57*'Rate Calculations'!$G$9*(1-'Sum of Billing Determinants'!$AC57), 0)</f>
        <v>20670</v>
      </c>
      <c r="M49" s="31">
        <f>ROUND('Sum of Billing Determinants'!N57*'Rate Calculations'!$G$9*(1-'Sum of Billing Determinants'!$AC57), 0)</f>
        <v>18557</v>
      </c>
      <c r="N49" s="31">
        <f t="shared" si="0"/>
        <v>203353</v>
      </c>
    </row>
    <row r="50" spans="2:14" x14ac:dyDescent="0.3">
      <c r="B50" s="27">
        <f>'Sum of Billing Determinants'!A58</f>
        <v>10116</v>
      </c>
      <c r="C50" s="27" t="str">
        <f>'Sum of Billing Determinants'!B58</f>
        <v>Consolidated Irrigation District #19</v>
      </c>
      <c r="D50" s="31">
        <f>ROUND('Sum of Billing Determinants'!E58*'Rate Calculations'!$G$9*(1-'Sum of Billing Determinants'!$AC58), 0)</f>
        <v>151</v>
      </c>
      <c r="E50" s="31">
        <f>ROUND('Sum of Billing Determinants'!F58*'Rate Calculations'!$G$9*(1-'Sum of Billing Determinants'!$AC58), 0)</f>
        <v>126</v>
      </c>
      <c r="F50" s="31">
        <f>ROUND('Sum of Billing Determinants'!G58*'Rate Calculations'!$G$9*(1-'Sum of Billing Determinants'!$AC58), 0)</f>
        <v>114</v>
      </c>
      <c r="G50" s="31">
        <f>ROUND('Sum of Billing Determinants'!H58*'Rate Calculations'!$G$9*(1-'Sum of Billing Determinants'!$AC58), 0)</f>
        <v>127</v>
      </c>
      <c r="H50" s="31">
        <f>ROUND('Sum of Billing Determinants'!I58*'Rate Calculations'!$G$9*(1-'Sum of Billing Determinants'!$AC58), 0)</f>
        <v>103</v>
      </c>
      <c r="I50" s="31">
        <f>ROUND('Sum of Billing Determinants'!J58*'Rate Calculations'!$G$9*(1-'Sum of Billing Determinants'!$AC58), 0)</f>
        <v>139</v>
      </c>
      <c r="J50" s="31">
        <f>ROUND('Sum of Billing Determinants'!K58*'Rate Calculations'!$G$9*(1-'Sum of Billing Determinants'!$AC58), 0)</f>
        <v>178</v>
      </c>
      <c r="K50" s="31">
        <f>ROUND('Sum of Billing Determinants'!L58*'Rate Calculations'!$G$9*(1-'Sum of Billing Determinants'!$AC58), 0)</f>
        <v>139</v>
      </c>
      <c r="L50" s="31">
        <f>ROUND('Sum of Billing Determinants'!M58*'Rate Calculations'!$G$9*(1-'Sum of Billing Determinants'!$AC58), 0)</f>
        <v>136</v>
      </c>
      <c r="M50" s="31">
        <f>ROUND('Sum of Billing Determinants'!N58*'Rate Calculations'!$G$9*(1-'Sum of Billing Determinants'!$AC58), 0)</f>
        <v>122</v>
      </c>
      <c r="N50" s="31">
        <f t="shared" si="0"/>
        <v>1335</v>
      </c>
    </row>
    <row r="51" spans="2:14" x14ac:dyDescent="0.3">
      <c r="B51" s="27">
        <f>'Sum of Billing Determinants'!A59</f>
        <v>10118</v>
      </c>
      <c r="C51" s="27" t="str">
        <f>'Sum of Billing Determinants'!B59</f>
        <v>Consumers Power</v>
      </c>
      <c r="D51" s="31">
        <f>ROUND('Sum of Billing Determinants'!E59*'Rate Calculations'!$G$9*(1-'Sum of Billing Determinants'!$AC59), 0)</f>
        <v>28315</v>
      </c>
      <c r="E51" s="31">
        <f>ROUND('Sum of Billing Determinants'!F59*'Rate Calculations'!$G$9*(1-'Sum of Billing Determinants'!$AC59), 0)</f>
        <v>23602</v>
      </c>
      <c r="F51" s="31">
        <f>ROUND('Sum of Billing Determinants'!G59*'Rate Calculations'!$G$9*(1-'Sum of Billing Determinants'!$AC59), 0)</f>
        <v>21381</v>
      </c>
      <c r="G51" s="31">
        <f>ROUND('Sum of Billing Determinants'!H59*'Rate Calculations'!$G$9*(1-'Sum of Billing Determinants'!$AC59), 0)</f>
        <v>23783</v>
      </c>
      <c r="H51" s="31">
        <f>ROUND('Sum of Billing Determinants'!I59*'Rate Calculations'!$G$9*(1-'Sum of Billing Determinants'!$AC59), 0)</f>
        <v>19364</v>
      </c>
      <c r="I51" s="31">
        <f>ROUND('Sum of Billing Determinants'!J59*'Rate Calculations'!$G$9*(1-'Sum of Billing Determinants'!$AC59), 0)</f>
        <v>26115</v>
      </c>
      <c r="J51" s="31">
        <f>ROUND('Sum of Billing Determinants'!K59*'Rate Calculations'!$G$9*(1-'Sum of Billing Determinants'!$AC59), 0)</f>
        <v>33321</v>
      </c>
      <c r="K51" s="31">
        <f>ROUND('Sum of Billing Determinants'!L59*'Rate Calculations'!$G$9*(1-'Sum of Billing Determinants'!$AC59), 0)</f>
        <v>26125</v>
      </c>
      <c r="L51" s="31">
        <f>ROUND('Sum of Billing Determinants'!M59*'Rate Calculations'!$G$9*(1-'Sum of Billing Determinants'!$AC59), 0)</f>
        <v>25440</v>
      </c>
      <c r="M51" s="31">
        <f>ROUND('Sum of Billing Determinants'!N59*'Rate Calculations'!$G$9*(1-'Sum of Billing Determinants'!$AC59), 0)</f>
        <v>22840</v>
      </c>
      <c r="N51" s="31">
        <f t="shared" si="0"/>
        <v>250286</v>
      </c>
    </row>
    <row r="52" spans="2:14" x14ac:dyDescent="0.3">
      <c r="B52" s="27">
        <f>'Sum of Billing Determinants'!A60</f>
        <v>10121</v>
      </c>
      <c r="C52" s="27" t="str">
        <f>'Sum of Billing Determinants'!B60</f>
        <v>Coos Curry Elec Coop</v>
      </c>
      <c r="D52" s="31">
        <f>ROUND('Sum of Billing Determinants'!E60*'Rate Calculations'!$G$9*(1-'Sum of Billing Determinants'!$AC60), 0)</f>
        <v>24449</v>
      </c>
      <c r="E52" s="31">
        <f>ROUND('Sum of Billing Determinants'!F60*'Rate Calculations'!$G$9*(1-'Sum of Billing Determinants'!$AC60), 0)</f>
        <v>20380</v>
      </c>
      <c r="F52" s="31">
        <f>ROUND('Sum of Billing Determinants'!G60*'Rate Calculations'!$G$9*(1-'Sum of Billing Determinants'!$AC60), 0)</f>
        <v>18462</v>
      </c>
      <c r="G52" s="31">
        <f>ROUND('Sum of Billing Determinants'!H60*'Rate Calculations'!$G$9*(1-'Sum of Billing Determinants'!$AC60), 0)</f>
        <v>20536</v>
      </c>
      <c r="H52" s="31">
        <f>ROUND('Sum of Billing Determinants'!I60*'Rate Calculations'!$G$9*(1-'Sum of Billing Determinants'!$AC60), 0)</f>
        <v>16720</v>
      </c>
      <c r="I52" s="31">
        <f>ROUND('Sum of Billing Determinants'!J60*'Rate Calculations'!$G$9*(1-'Sum of Billing Determinants'!$AC60), 0)</f>
        <v>22550</v>
      </c>
      <c r="J52" s="31">
        <f>ROUND('Sum of Billing Determinants'!K60*'Rate Calculations'!$G$9*(1-'Sum of Billing Determinants'!$AC60), 0)</f>
        <v>28772</v>
      </c>
      <c r="K52" s="31">
        <f>ROUND('Sum of Billing Determinants'!L60*'Rate Calculations'!$G$9*(1-'Sum of Billing Determinants'!$AC60), 0)</f>
        <v>22558</v>
      </c>
      <c r="L52" s="31">
        <f>ROUND('Sum of Billing Determinants'!M60*'Rate Calculations'!$G$9*(1-'Sum of Billing Determinants'!$AC60), 0)</f>
        <v>21967</v>
      </c>
      <c r="M52" s="31">
        <f>ROUND('Sum of Billing Determinants'!N60*'Rate Calculations'!$G$9*(1-'Sum of Billing Determinants'!$AC60), 0)</f>
        <v>19722</v>
      </c>
      <c r="N52" s="31">
        <f t="shared" si="0"/>
        <v>216116</v>
      </c>
    </row>
    <row r="53" spans="2:14" x14ac:dyDescent="0.3">
      <c r="B53" s="27">
        <f>'Sum of Billing Determinants'!A61</f>
        <v>10123</v>
      </c>
      <c r="C53" s="27" t="str">
        <f>'Sum of Billing Determinants'!B61</f>
        <v>Cowlitz County PUD #1</v>
      </c>
      <c r="D53" s="31">
        <f>ROUND('Sum of Billing Determinants'!E61*'Rate Calculations'!$G$9*(1-'Sum of Billing Determinants'!$AC61), 0)</f>
        <v>130149</v>
      </c>
      <c r="E53" s="31">
        <f>ROUND('Sum of Billing Determinants'!F61*'Rate Calculations'!$G$9*(1-'Sum of Billing Determinants'!$AC61), 0)</f>
        <v>108487</v>
      </c>
      <c r="F53" s="31">
        <f>ROUND('Sum of Billing Determinants'!G61*'Rate Calculations'!$G$9*(1-'Sum of Billing Determinants'!$AC61), 0)</f>
        <v>98278</v>
      </c>
      <c r="G53" s="31">
        <f>ROUND('Sum of Billing Determinants'!H61*'Rate Calculations'!$G$9*(1-'Sum of Billing Determinants'!$AC61), 0)</f>
        <v>109317</v>
      </c>
      <c r="H53" s="31">
        <f>ROUND('Sum of Billing Determinants'!I61*'Rate Calculations'!$G$9*(1-'Sum of Billing Determinants'!$AC61), 0)</f>
        <v>89006</v>
      </c>
      <c r="I53" s="31">
        <f>ROUND('Sum of Billing Determinants'!J61*'Rate Calculations'!$G$9*(1-'Sum of Billing Determinants'!$AC61), 0)</f>
        <v>120037</v>
      </c>
      <c r="J53" s="31">
        <f>ROUND('Sum of Billing Determinants'!K61*'Rate Calculations'!$G$9*(1-'Sum of Billing Determinants'!$AC61), 0)</f>
        <v>153160</v>
      </c>
      <c r="K53" s="31">
        <f>ROUND('Sum of Billing Determinants'!L61*'Rate Calculations'!$G$9*(1-'Sum of Billing Determinants'!$AC61), 0)</f>
        <v>120082</v>
      </c>
      <c r="L53" s="31">
        <f>ROUND('Sum of Billing Determinants'!M61*'Rate Calculations'!$G$9*(1-'Sum of Billing Determinants'!$AC61), 0)</f>
        <v>116936</v>
      </c>
      <c r="M53" s="31">
        <f>ROUND('Sum of Billing Determinants'!N61*'Rate Calculations'!$G$9*(1-'Sum of Billing Determinants'!$AC61), 0)</f>
        <v>104984</v>
      </c>
      <c r="N53" s="31">
        <f t="shared" si="0"/>
        <v>1150436</v>
      </c>
    </row>
    <row r="54" spans="2:14" x14ac:dyDescent="0.3">
      <c r="B54" s="27">
        <f>'Sum of Billing Determinants'!A62</f>
        <v>10136</v>
      </c>
      <c r="C54" s="27" t="str">
        <f>'Sum of Billing Determinants'!B62</f>
        <v>Douglas Electric Cooperative</v>
      </c>
      <c r="D54" s="31">
        <f>ROUND('Sum of Billing Determinants'!E62*'Rate Calculations'!$G$9*(1-'Sum of Billing Determinants'!$AC62), 0)</f>
        <v>11258</v>
      </c>
      <c r="E54" s="31">
        <f>ROUND('Sum of Billing Determinants'!F62*'Rate Calculations'!$G$9*(1-'Sum of Billing Determinants'!$AC62), 0)</f>
        <v>9384</v>
      </c>
      <c r="F54" s="31">
        <f>ROUND('Sum of Billing Determinants'!G62*'Rate Calculations'!$G$9*(1-'Sum of Billing Determinants'!$AC62), 0)</f>
        <v>8501</v>
      </c>
      <c r="G54" s="31">
        <f>ROUND('Sum of Billing Determinants'!H62*'Rate Calculations'!$G$9*(1-'Sum of Billing Determinants'!$AC62), 0)</f>
        <v>9456</v>
      </c>
      <c r="H54" s="31">
        <f>ROUND('Sum of Billing Determinants'!I62*'Rate Calculations'!$G$9*(1-'Sum of Billing Determinants'!$AC62), 0)</f>
        <v>7699</v>
      </c>
      <c r="I54" s="31">
        <f>ROUND('Sum of Billing Determinants'!J62*'Rate Calculations'!$G$9*(1-'Sum of Billing Determinants'!$AC62), 0)</f>
        <v>10383</v>
      </c>
      <c r="J54" s="31">
        <f>ROUND('Sum of Billing Determinants'!K62*'Rate Calculations'!$G$9*(1-'Sum of Billing Determinants'!$AC62), 0)</f>
        <v>13248</v>
      </c>
      <c r="K54" s="31">
        <f>ROUND('Sum of Billing Determinants'!L62*'Rate Calculations'!$G$9*(1-'Sum of Billing Determinants'!$AC62), 0)</f>
        <v>10387</v>
      </c>
      <c r="L54" s="31">
        <f>ROUND('Sum of Billing Determinants'!M62*'Rate Calculations'!$G$9*(1-'Sum of Billing Determinants'!$AC62), 0)</f>
        <v>10115</v>
      </c>
      <c r="M54" s="31">
        <f>ROUND('Sum of Billing Determinants'!N62*'Rate Calculations'!$G$9*(1-'Sum of Billing Determinants'!$AC62), 0)</f>
        <v>9081</v>
      </c>
      <c r="N54" s="31">
        <f t="shared" si="0"/>
        <v>99512</v>
      </c>
    </row>
    <row r="55" spans="2:14" x14ac:dyDescent="0.3">
      <c r="B55" s="27">
        <f>'Sum of Billing Determinants'!A63</f>
        <v>10142</v>
      </c>
      <c r="C55" s="27" t="str">
        <f>'Sum of Billing Determinants'!B63</f>
        <v>East End Mutual Electric</v>
      </c>
      <c r="D55" s="31">
        <f>ROUND('Sum of Billing Determinants'!E63*'Rate Calculations'!$G$9*(1-'Sum of Billing Determinants'!$AC63), 0)</f>
        <v>1727</v>
      </c>
      <c r="E55" s="31">
        <f>ROUND('Sum of Billing Determinants'!F63*'Rate Calculations'!$G$9*(1-'Sum of Billing Determinants'!$AC63), 0)</f>
        <v>1440</v>
      </c>
      <c r="F55" s="31">
        <f>ROUND('Sum of Billing Determinants'!G63*'Rate Calculations'!$G$9*(1-'Sum of Billing Determinants'!$AC63), 0)</f>
        <v>1304</v>
      </c>
      <c r="G55" s="31">
        <f>ROUND('Sum of Billing Determinants'!H63*'Rate Calculations'!$G$9*(1-'Sum of Billing Determinants'!$AC63), 0)</f>
        <v>1451</v>
      </c>
      <c r="H55" s="31">
        <f>ROUND('Sum of Billing Determinants'!I63*'Rate Calculations'!$G$9*(1-'Sum of Billing Determinants'!$AC63), 0)</f>
        <v>1181</v>
      </c>
      <c r="I55" s="31">
        <f>ROUND('Sum of Billing Determinants'!J63*'Rate Calculations'!$G$9*(1-'Sum of Billing Determinants'!$AC63), 0)</f>
        <v>1593</v>
      </c>
      <c r="J55" s="31">
        <f>ROUND('Sum of Billing Determinants'!K63*'Rate Calculations'!$G$9*(1-'Sum of Billing Determinants'!$AC63), 0)</f>
        <v>2032</v>
      </c>
      <c r="K55" s="31">
        <f>ROUND('Sum of Billing Determinants'!L63*'Rate Calculations'!$G$9*(1-'Sum of Billing Determinants'!$AC63), 0)</f>
        <v>1593</v>
      </c>
      <c r="L55" s="31">
        <f>ROUND('Sum of Billing Determinants'!M63*'Rate Calculations'!$G$9*(1-'Sum of Billing Determinants'!$AC63), 0)</f>
        <v>1552</v>
      </c>
      <c r="M55" s="31">
        <f>ROUND('Sum of Billing Determinants'!N63*'Rate Calculations'!$G$9*(1-'Sum of Billing Determinants'!$AC63), 0)</f>
        <v>1393</v>
      </c>
      <c r="N55" s="31">
        <f t="shared" si="0"/>
        <v>15266</v>
      </c>
    </row>
    <row r="56" spans="2:14" x14ac:dyDescent="0.3">
      <c r="B56" s="27">
        <f>'Sum of Billing Determinants'!A64</f>
        <v>10144</v>
      </c>
      <c r="C56" s="27" t="str">
        <f>'Sum of Billing Determinants'!B64</f>
        <v>Eatonville, City of</v>
      </c>
      <c r="D56" s="31">
        <f>ROUND('Sum of Billing Determinants'!E64*'Rate Calculations'!$G$9*(1-'Sum of Billing Determinants'!$AC64), 0)</f>
        <v>2238</v>
      </c>
      <c r="E56" s="31">
        <f>ROUND('Sum of Billing Determinants'!F64*'Rate Calculations'!$G$9*(1-'Sum of Billing Determinants'!$AC64), 0)</f>
        <v>1866</v>
      </c>
      <c r="F56" s="31">
        <f>ROUND('Sum of Billing Determinants'!G64*'Rate Calculations'!$G$9*(1-'Sum of Billing Determinants'!$AC64), 0)</f>
        <v>1690</v>
      </c>
      <c r="G56" s="31">
        <f>ROUND('Sum of Billing Determinants'!H64*'Rate Calculations'!$G$9*(1-'Sum of Billing Determinants'!$AC64), 0)</f>
        <v>1880</v>
      </c>
      <c r="H56" s="31">
        <f>ROUND('Sum of Billing Determinants'!I64*'Rate Calculations'!$G$9*(1-'Sum of Billing Determinants'!$AC64), 0)</f>
        <v>1531</v>
      </c>
      <c r="I56" s="31">
        <f>ROUND('Sum of Billing Determinants'!J64*'Rate Calculations'!$G$9*(1-'Sum of Billing Determinants'!$AC64), 0)</f>
        <v>2064</v>
      </c>
      <c r="J56" s="31">
        <f>ROUND('Sum of Billing Determinants'!K64*'Rate Calculations'!$G$9*(1-'Sum of Billing Determinants'!$AC64), 0)</f>
        <v>2634</v>
      </c>
      <c r="K56" s="31">
        <f>ROUND('Sum of Billing Determinants'!L64*'Rate Calculations'!$G$9*(1-'Sum of Billing Determinants'!$AC64), 0)</f>
        <v>2065</v>
      </c>
      <c r="L56" s="31">
        <f>ROUND('Sum of Billing Determinants'!M64*'Rate Calculations'!$G$9*(1-'Sum of Billing Determinants'!$AC64), 0)</f>
        <v>2011</v>
      </c>
      <c r="M56" s="31">
        <f>ROUND('Sum of Billing Determinants'!N64*'Rate Calculations'!$G$9*(1-'Sum of Billing Determinants'!$AC64), 0)</f>
        <v>1806</v>
      </c>
      <c r="N56" s="31">
        <f t="shared" si="0"/>
        <v>19785</v>
      </c>
    </row>
    <row r="57" spans="2:14" x14ac:dyDescent="0.3">
      <c r="B57" s="27">
        <f>'Sum of Billing Determinants'!A65</f>
        <v>10156</v>
      </c>
      <c r="C57" s="27" t="str">
        <f>'Sum of Billing Determinants'!B65</f>
        <v>Elmhurst Mutual P &amp; L</v>
      </c>
      <c r="D57" s="31">
        <f>ROUND('Sum of Billing Determinants'!E65*'Rate Calculations'!$G$9*(1-'Sum of Billing Determinants'!$AC65), 0)</f>
        <v>21426</v>
      </c>
      <c r="E57" s="31">
        <f>ROUND('Sum of Billing Determinants'!F65*'Rate Calculations'!$G$9*(1-'Sum of Billing Determinants'!$AC65), 0)</f>
        <v>17860</v>
      </c>
      <c r="F57" s="31">
        <f>ROUND('Sum of Billing Determinants'!G65*'Rate Calculations'!$G$9*(1-'Sum of Billing Determinants'!$AC65), 0)</f>
        <v>16179</v>
      </c>
      <c r="G57" s="31">
        <f>ROUND('Sum of Billing Determinants'!H65*'Rate Calculations'!$G$9*(1-'Sum of Billing Determinants'!$AC65), 0)</f>
        <v>17997</v>
      </c>
      <c r="H57" s="31">
        <f>ROUND('Sum of Billing Determinants'!I65*'Rate Calculations'!$G$9*(1-'Sum of Billing Determinants'!$AC65), 0)</f>
        <v>14653</v>
      </c>
      <c r="I57" s="31">
        <f>ROUND('Sum of Billing Determinants'!J65*'Rate Calculations'!$G$9*(1-'Sum of Billing Determinants'!$AC65), 0)</f>
        <v>19762</v>
      </c>
      <c r="J57" s="31">
        <f>ROUND('Sum of Billing Determinants'!K65*'Rate Calculations'!$G$9*(1-'Sum of Billing Determinants'!$AC65), 0)</f>
        <v>25215</v>
      </c>
      <c r="K57" s="31">
        <f>ROUND('Sum of Billing Determinants'!L65*'Rate Calculations'!$G$9*(1-'Sum of Billing Determinants'!$AC65), 0)</f>
        <v>19769</v>
      </c>
      <c r="L57" s="31">
        <f>ROUND('Sum of Billing Determinants'!M65*'Rate Calculations'!$G$9*(1-'Sum of Billing Determinants'!$AC65), 0)</f>
        <v>19251</v>
      </c>
      <c r="M57" s="31">
        <f>ROUND('Sum of Billing Determinants'!N65*'Rate Calculations'!$G$9*(1-'Sum of Billing Determinants'!$AC65), 0)</f>
        <v>17283</v>
      </c>
      <c r="N57" s="31">
        <f t="shared" si="0"/>
        <v>189395</v>
      </c>
    </row>
    <row r="58" spans="2:14" x14ac:dyDescent="0.3">
      <c r="B58" s="27">
        <f>'Sum of Billing Determinants'!A66</f>
        <v>10157</v>
      </c>
      <c r="C58" s="27" t="str">
        <f>'Sum of Billing Determinants'!B66</f>
        <v>Emerald PUD</v>
      </c>
      <c r="D58" s="31">
        <f>ROUND('Sum of Billing Determinants'!E66*'Rate Calculations'!$G$9*(1-'Sum of Billing Determinants'!$AC66), 0)</f>
        <v>15015</v>
      </c>
      <c r="E58" s="31">
        <f>ROUND('Sum of Billing Determinants'!F66*'Rate Calculations'!$G$9*(1-'Sum of Billing Determinants'!$AC66), 0)</f>
        <v>12516</v>
      </c>
      <c r="F58" s="31">
        <f>ROUND('Sum of Billing Determinants'!G66*'Rate Calculations'!$G$9*(1-'Sum of Billing Determinants'!$AC66), 0)</f>
        <v>11338</v>
      </c>
      <c r="G58" s="31">
        <f>ROUND('Sum of Billing Determinants'!H66*'Rate Calculations'!$G$9*(1-'Sum of Billing Determinants'!$AC66), 0)</f>
        <v>12611</v>
      </c>
      <c r="H58" s="31">
        <f>ROUND('Sum of Billing Determinants'!I66*'Rate Calculations'!$G$9*(1-'Sum of Billing Determinants'!$AC66), 0)</f>
        <v>10268</v>
      </c>
      <c r="I58" s="31">
        <f>ROUND('Sum of Billing Determinants'!J66*'Rate Calculations'!$G$9*(1-'Sum of Billing Determinants'!$AC66), 0)</f>
        <v>13848</v>
      </c>
      <c r="J58" s="31">
        <f>ROUND('Sum of Billing Determinants'!K66*'Rate Calculations'!$G$9*(1-'Sum of Billing Determinants'!$AC66), 0)</f>
        <v>17669</v>
      </c>
      <c r="K58" s="31">
        <f>ROUND('Sum of Billing Determinants'!L66*'Rate Calculations'!$G$9*(1-'Sum of Billing Determinants'!$AC66), 0)</f>
        <v>13853</v>
      </c>
      <c r="L58" s="31">
        <f>ROUND('Sum of Billing Determinants'!M66*'Rate Calculations'!$G$9*(1-'Sum of Billing Determinants'!$AC66), 0)</f>
        <v>13490</v>
      </c>
      <c r="M58" s="31">
        <f>ROUND('Sum of Billing Determinants'!N66*'Rate Calculations'!$G$9*(1-'Sum of Billing Determinants'!$AC66), 0)</f>
        <v>12111</v>
      </c>
      <c r="N58" s="31">
        <f t="shared" si="0"/>
        <v>132719</v>
      </c>
    </row>
    <row r="59" spans="2:14" x14ac:dyDescent="0.3">
      <c r="B59" s="27">
        <f>'Sum of Billing Determinants'!A67</f>
        <v>10158</v>
      </c>
      <c r="C59" s="27" t="str">
        <f>'Sum of Billing Determinants'!B67</f>
        <v>Energy Northwest</v>
      </c>
      <c r="D59" s="31">
        <f>ROUND('Sum of Billing Determinants'!E67*'Rate Calculations'!$G$9*(1-'Sum of Billing Determinants'!$AC67), 0)</f>
        <v>1614</v>
      </c>
      <c r="E59" s="31">
        <f>ROUND('Sum of Billing Determinants'!F67*'Rate Calculations'!$G$9*(1-'Sum of Billing Determinants'!$AC67), 0)</f>
        <v>1345</v>
      </c>
      <c r="F59" s="31">
        <f>ROUND('Sum of Billing Determinants'!G67*'Rate Calculations'!$G$9*(1-'Sum of Billing Determinants'!$AC67), 0)</f>
        <v>1219</v>
      </c>
      <c r="G59" s="31">
        <f>ROUND('Sum of Billing Determinants'!H67*'Rate Calculations'!$G$9*(1-'Sum of Billing Determinants'!$AC67), 0)</f>
        <v>1356</v>
      </c>
      <c r="H59" s="31">
        <f>ROUND('Sum of Billing Determinants'!I67*'Rate Calculations'!$G$9*(1-'Sum of Billing Determinants'!$AC67), 0)</f>
        <v>1104</v>
      </c>
      <c r="I59" s="31">
        <f>ROUND('Sum of Billing Determinants'!J67*'Rate Calculations'!$G$9*(1-'Sum of Billing Determinants'!$AC67), 0)</f>
        <v>1489</v>
      </c>
      <c r="J59" s="31">
        <f>ROUND('Sum of Billing Determinants'!K67*'Rate Calculations'!$G$9*(1-'Sum of Billing Determinants'!$AC67), 0)</f>
        <v>1900</v>
      </c>
      <c r="K59" s="31">
        <f>ROUND('Sum of Billing Determinants'!L67*'Rate Calculations'!$G$9*(1-'Sum of Billing Determinants'!$AC67), 0)</f>
        <v>1489</v>
      </c>
      <c r="L59" s="31">
        <f>ROUND('Sum of Billing Determinants'!M67*'Rate Calculations'!$G$9*(1-'Sum of Billing Determinants'!$AC67), 0)</f>
        <v>1450</v>
      </c>
      <c r="M59" s="31">
        <f>ROUND('Sum of Billing Determinants'!N67*'Rate Calculations'!$G$9*(1-'Sum of Billing Determinants'!$AC67), 0)</f>
        <v>1302</v>
      </c>
      <c r="N59" s="31">
        <f t="shared" si="0"/>
        <v>14268</v>
      </c>
    </row>
    <row r="60" spans="2:14" x14ac:dyDescent="0.3">
      <c r="B60" s="27">
        <f>'Sum of Billing Determinants'!A68</f>
        <v>10170</v>
      </c>
      <c r="C60" s="27" t="str">
        <f>'Sum of Billing Determinants'!B68</f>
        <v>Eugene Water &amp; Electric Board</v>
      </c>
      <c r="D60" s="31">
        <f>ROUND('Sum of Billing Determinants'!E68*'Rate Calculations'!$G$9*(1-'Sum of Billing Determinants'!$AC68), 0)</f>
        <v>73194</v>
      </c>
      <c r="E60" s="31">
        <f>ROUND('Sum of Billing Determinants'!F68*'Rate Calculations'!$G$9*(1-'Sum of Billing Determinants'!$AC68), 0)</f>
        <v>61012</v>
      </c>
      <c r="F60" s="31">
        <f>ROUND('Sum of Billing Determinants'!G68*'Rate Calculations'!$G$9*(1-'Sum of Billing Determinants'!$AC68), 0)</f>
        <v>55270</v>
      </c>
      <c r="G60" s="31">
        <f>ROUND('Sum of Billing Determinants'!H68*'Rate Calculations'!$G$9*(1-'Sum of Billing Determinants'!$AC68), 0)</f>
        <v>61478</v>
      </c>
      <c r="H60" s="31">
        <f>ROUND('Sum of Billing Determinants'!I68*'Rate Calculations'!$G$9*(1-'Sum of Billing Determinants'!$AC68), 0)</f>
        <v>50055</v>
      </c>
      <c r="I60" s="31">
        <f>ROUND('Sum of Billing Determinants'!J68*'Rate Calculations'!$G$9*(1-'Sum of Billing Determinants'!$AC68), 0)</f>
        <v>67507</v>
      </c>
      <c r="J60" s="31">
        <f>ROUND('Sum of Billing Determinants'!K68*'Rate Calculations'!$G$9*(1-'Sum of Billing Determinants'!$AC68), 0)</f>
        <v>86135</v>
      </c>
      <c r="K60" s="31">
        <f>ROUND('Sum of Billing Determinants'!L68*'Rate Calculations'!$G$9*(1-'Sum of Billing Determinants'!$AC68), 0)</f>
        <v>67532</v>
      </c>
      <c r="L60" s="31">
        <f>ROUND('Sum of Billing Determinants'!M68*'Rate Calculations'!$G$9*(1-'Sum of Billing Determinants'!$AC68), 0)</f>
        <v>65763</v>
      </c>
      <c r="M60" s="31">
        <f>ROUND('Sum of Billing Determinants'!N68*'Rate Calculations'!$G$9*(1-'Sum of Billing Determinants'!$AC68), 0)</f>
        <v>59041</v>
      </c>
      <c r="N60" s="31">
        <f t="shared" si="0"/>
        <v>646987</v>
      </c>
    </row>
    <row r="61" spans="2:14" x14ac:dyDescent="0.3">
      <c r="B61" s="27">
        <f>'Sum of Billing Determinants'!A69</f>
        <v>10172</v>
      </c>
      <c r="C61" s="27" t="str">
        <f>'Sum of Billing Determinants'!B69</f>
        <v>U.S. Airforce Base, Fairchild</v>
      </c>
      <c r="D61" s="31">
        <f>ROUND('Sum of Billing Determinants'!E69*'Rate Calculations'!$G$9*(1-'Sum of Billing Determinants'!$AC69), 0)</f>
        <v>3608</v>
      </c>
      <c r="E61" s="31">
        <f>ROUND('Sum of Billing Determinants'!F69*'Rate Calculations'!$G$9*(1-'Sum of Billing Determinants'!$AC69), 0)</f>
        <v>3007</v>
      </c>
      <c r="F61" s="31">
        <f>ROUND('Sum of Billing Determinants'!G69*'Rate Calculations'!$G$9*(1-'Sum of Billing Determinants'!$AC69), 0)</f>
        <v>2724</v>
      </c>
      <c r="G61" s="31">
        <f>ROUND('Sum of Billing Determinants'!H69*'Rate Calculations'!$G$9*(1-'Sum of Billing Determinants'!$AC69), 0)</f>
        <v>3030</v>
      </c>
      <c r="H61" s="31">
        <f>ROUND('Sum of Billing Determinants'!I69*'Rate Calculations'!$G$9*(1-'Sum of Billing Determinants'!$AC69), 0)</f>
        <v>2467</v>
      </c>
      <c r="I61" s="31">
        <f>ROUND('Sum of Billing Determinants'!J69*'Rate Calculations'!$G$9*(1-'Sum of Billing Determinants'!$AC69), 0)</f>
        <v>3328</v>
      </c>
      <c r="J61" s="31">
        <f>ROUND('Sum of Billing Determinants'!K69*'Rate Calculations'!$G$9*(1-'Sum of Billing Determinants'!$AC69), 0)</f>
        <v>4246</v>
      </c>
      <c r="K61" s="31">
        <f>ROUND('Sum of Billing Determinants'!L69*'Rate Calculations'!$G$9*(1-'Sum of Billing Determinants'!$AC69), 0)</f>
        <v>3329</v>
      </c>
      <c r="L61" s="31">
        <f>ROUND('Sum of Billing Determinants'!M69*'Rate Calculations'!$G$9*(1-'Sum of Billing Determinants'!$AC69), 0)</f>
        <v>3242</v>
      </c>
      <c r="M61" s="31">
        <f>ROUND('Sum of Billing Determinants'!N69*'Rate Calculations'!$G$9*(1-'Sum of Billing Determinants'!$AC69), 0)</f>
        <v>2910</v>
      </c>
      <c r="N61" s="31">
        <f t="shared" si="0"/>
        <v>31891</v>
      </c>
    </row>
    <row r="62" spans="2:14" x14ac:dyDescent="0.3">
      <c r="B62" s="27">
        <f>'Sum of Billing Determinants'!A70</f>
        <v>10173</v>
      </c>
      <c r="C62" s="27" t="str">
        <f>'Sum of Billing Determinants'!B70</f>
        <v>Fall River Elec Coop</v>
      </c>
      <c r="D62" s="31">
        <f>ROUND('Sum of Billing Determinants'!E70*'Rate Calculations'!$G$9*(1-'Sum of Billing Determinants'!$AC70), 0)</f>
        <v>20302</v>
      </c>
      <c r="E62" s="31">
        <f>ROUND('Sum of Billing Determinants'!F70*'Rate Calculations'!$G$9*(1-'Sum of Billing Determinants'!$AC70), 0)</f>
        <v>16923</v>
      </c>
      <c r="F62" s="31">
        <f>ROUND('Sum of Billing Determinants'!G70*'Rate Calculations'!$G$9*(1-'Sum of Billing Determinants'!$AC70), 0)</f>
        <v>15330</v>
      </c>
      <c r="G62" s="31">
        <f>ROUND('Sum of Billing Determinants'!H70*'Rate Calculations'!$G$9*(1-'Sum of Billing Determinants'!$AC70), 0)</f>
        <v>17052</v>
      </c>
      <c r="H62" s="31">
        <f>ROUND('Sum of Billing Determinants'!I70*'Rate Calculations'!$G$9*(1-'Sum of Billing Determinants'!$AC70), 0)</f>
        <v>13884</v>
      </c>
      <c r="I62" s="31">
        <f>ROUND('Sum of Billing Determinants'!J70*'Rate Calculations'!$G$9*(1-'Sum of Billing Determinants'!$AC70), 0)</f>
        <v>18724</v>
      </c>
      <c r="J62" s="31">
        <f>ROUND('Sum of Billing Determinants'!K70*'Rate Calculations'!$G$9*(1-'Sum of Billing Determinants'!$AC70), 0)</f>
        <v>23891</v>
      </c>
      <c r="K62" s="31">
        <f>ROUND('Sum of Billing Determinants'!L70*'Rate Calculations'!$G$9*(1-'Sum of Billing Determinants'!$AC70), 0)</f>
        <v>18731</v>
      </c>
      <c r="L62" s="31">
        <f>ROUND('Sum of Billing Determinants'!M70*'Rate Calculations'!$G$9*(1-'Sum of Billing Determinants'!$AC70), 0)</f>
        <v>18241</v>
      </c>
      <c r="M62" s="31">
        <f>ROUND('Sum of Billing Determinants'!N70*'Rate Calculations'!$G$9*(1-'Sum of Billing Determinants'!$AC70), 0)</f>
        <v>16376</v>
      </c>
      <c r="N62" s="31">
        <f t="shared" si="0"/>
        <v>179454</v>
      </c>
    </row>
    <row r="63" spans="2:14" x14ac:dyDescent="0.3">
      <c r="B63" s="27">
        <f>'Sum of Billing Determinants'!A71</f>
        <v>10174</v>
      </c>
      <c r="C63" s="27" t="str">
        <f>'Sum of Billing Determinants'!B71</f>
        <v>Farmers Elec Coop</v>
      </c>
      <c r="D63" s="31">
        <f>ROUND('Sum of Billing Determinants'!E71*'Rate Calculations'!$G$9*(1-'Sum of Billing Determinants'!$AC71), 0)</f>
        <v>332</v>
      </c>
      <c r="E63" s="31">
        <f>ROUND('Sum of Billing Determinants'!F71*'Rate Calculations'!$G$9*(1-'Sum of Billing Determinants'!$AC71), 0)</f>
        <v>277</v>
      </c>
      <c r="F63" s="31">
        <f>ROUND('Sum of Billing Determinants'!G71*'Rate Calculations'!$G$9*(1-'Sum of Billing Determinants'!$AC71), 0)</f>
        <v>251</v>
      </c>
      <c r="G63" s="31">
        <f>ROUND('Sum of Billing Determinants'!H71*'Rate Calculations'!$G$9*(1-'Sum of Billing Determinants'!$AC71), 0)</f>
        <v>279</v>
      </c>
      <c r="H63" s="31">
        <f>ROUND('Sum of Billing Determinants'!I71*'Rate Calculations'!$G$9*(1-'Sum of Billing Determinants'!$AC71), 0)</f>
        <v>227</v>
      </c>
      <c r="I63" s="31">
        <f>ROUND('Sum of Billing Determinants'!J71*'Rate Calculations'!$G$9*(1-'Sum of Billing Determinants'!$AC71), 0)</f>
        <v>306</v>
      </c>
      <c r="J63" s="31">
        <f>ROUND('Sum of Billing Determinants'!K71*'Rate Calculations'!$G$9*(1-'Sum of Billing Determinants'!$AC71), 0)</f>
        <v>391</v>
      </c>
      <c r="K63" s="31">
        <f>ROUND('Sum of Billing Determinants'!L71*'Rate Calculations'!$G$9*(1-'Sum of Billing Determinants'!$AC71), 0)</f>
        <v>307</v>
      </c>
      <c r="L63" s="31">
        <f>ROUND('Sum of Billing Determinants'!M71*'Rate Calculations'!$G$9*(1-'Sum of Billing Determinants'!$AC71), 0)</f>
        <v>299</v>
      </c>
      <c r="M63" s="31">
        <f>ROUND('Sum of Billing Determinants'!N71*'Rate Calculations'!$G$9*(1-'Sum of Billing Determinants'!$AC71), 0)</f>
        <v>268</v>
      </c>
      <c r="N63" s="31">
        <f t="shared" si="0"/>
        <v>2937</v>
      </c>
    </row>
    <row r="64" spans="2:14" x14ac:dyDescent="0.3">
      <c r="B64" s="27">
        <f>'Sum of Billing Determinants'!A72</f>
        <v>10177</v>
      </c>
      <c r="C64" s="27" t="str">
        <f>'Sum of Billing Determinants'!B72</f>
        <v>Ferry County PUD #1</v>
      </c>
      <c r="D64" s="31">
        <f>ROUND('Sum of Billing Determinants'!E72*'Rate Calculations'!$G$9*(1-'Sum of Billing Determinants'!$AC72), 0)</f>
        <v>5714</v>
      </c>
      <c r="E64" s="31">
        <f>ROUND('Sum of Billing Determinants'!F72*'Rate Calculations'!$G$9*(1-'Sum of Billing Determinants'!$AC72), 0)</f>
        <v>4763</v>
      </c>
      <c r="F64" s="31">
        <f>ROUND('Sum of Billing Determinants'!G72*'Rate Calculations'!$G$9*(1-'Sum of Billing Determinants'!$AC72), 0)</f>
        <v>4315</v>
      </c>
      <c r="G64" s="31">
        <f>ROUND('Sum of Billing Determinants'!H72*'Rate Calculations'!$G$9*(1-'Sum of Billing Determinants'!$AC72), 0)</f>
        <v>4799</v>
      </c>
      <c r="H64" s="31">
        <f>ROUND('Sum of Billing Determinants'!I72*'Rate Calculations'!$G$9*(1-'Sum of Billing Determinants'!$AC72), 0)</f>
        <v>3908</v>
      </c>
      <c r="I64" s="31">
        <f>ROUND('Sum of Billing Determinants'!J72*'Rate Calculations'!$G$9*(1-'Sum of Billing Determinants'!$AC72), 0)</f>
        <v>5270</v>
      </c>
      <c r="J64" s="31">
        <f>ROUND('Sum of Billing Determinants'!K72*'Rate Calculations'!$G$9*(1-'Sum of Billing Determinants'!$AC72), 0)</f>
        <v>6724</v>
      </c>
      <c r="K64" s="31">
        <f>ROUND('Sum of Billing Determinants'!L72*'Rate Calculations'!$G$9*(1-'Sum of Billing Determinants'!$AC72), 0)</f>
        <v>5272</v>
      </c>
      <c r="L64" s="31">
        <f>ROUND('Sum of Billing Determinants'!M72*'Rate Calculations'!$G$9*(1-'Sum of Billing Determinants'!$AC72), 0)</f>
        <v>5134</v>
      </c>
      <c r="M64" s="31">
        <f>ROUND('Sum of Billing Determinants'!N72*'Rate Calculations'!$G$9*(1-'Sum of Billing Determinants'!$AC72), 0)</f>
        <v>4609</v>
      </c>
      <c r="N64" s="31">
        <f t="shared" si="0"/>
        <v>50508</v>
      </c>
    </row>
    <row r="65" spans="2:14" x14ac:dyDescent="0.3">
      <c r="B65" s="27">
        <f>'Sum of Billing Determinants'!A73</f>
        <v>10179</v>
      </c>
      <c r="C65" s="27" t="str">
        <f>'Sum of Billing Determinants'!B73</f>
        <v>Flathead Elec Coop</v>
      </c>
      <c r="D65" s="31">
        <f>ROUND('Sum of Billing Determinants'!E73*'Rate Calculations'!$G$9*(1-'Sum of Billing Determinants'!$AC73), 0)</f>
        <v>110877</v>
      </c>
      <c r="E65" s="31">
        <f>ROUND('Sum of Billing Determinants'!F73*'Rate Calculations'!$G$9*(1-'Sum of Billing Determinants'!$AC73), 0)</f>
        <v>92422</v>
      </c>
      <c r="F65" s="31">
        <f>ROUND('Sum of Billing Determinants'!G73*'Rate Calculations'!$G$9*(1-'Sum of Billing Determinants'!$AC73), 0)</f>
        <v>83725</v>
      </c>
      <c r="G65" s="31">
        <f>ROUND('Sum of Billing Determinants'!H73*'Rate Calculations'!$G$9*(1-'Sum of Billing Determinants'!$AC73), 0)</f>
        <v>93129</v>
      </c>
      <c r="H65" s="31">
        <f>ROUND('Sum of Billing Determinants'!I73*'Rate Calculations'!$G$9*(1-'Sum of Billing Determinants'!$AC73), 0)</f>
        <v>75826</v>
      </c>
      <c r="I65" s="31">
        <f>ROUND('Sum of Billing Determinants'!J73*'Rate Calculations'!$G$9*(1-'Sum of Billing Determinants'!$AC73), 0)</f>
        <v>102262</v>
      </c>
      <c r="J65" s="31">
        <f>ROUND('Sum of Billing Determinants'!K73*'Rate Calculations'!$G$9*(1-'Sum of Billing Determinants'!$AC73), 0)</f>
        <v>130480</v>
      </c>
      <c r="K65" s="31">
        <f>ROUND('Sum of Billing Determinants'!L73*'Rate Calculations'!$G$9*(1-'Sum of Billing Determinants'!$AC73), 0)</f>
        <v>102300</v>
      </c>
      <c r="L65" s="31">
        <f>ROUND('Sum of Billing Determinants'!M73*'Rate Calculations'!$G$9*(1-'Sum of Billing Determinants'!$AC73), 0)</f>
        <v>99620</v>
      </c>
      <c r="M65" s="31">
        <f>ROUND('Sum of Billing Determinants'!N73*'Rate Calculations'!$G$9*(1-'Sum of Billing Determinants'!$AC73), 0)</f>
        <v>89438</v>
      </c>
      <c r="N65" s="31">
        <f t="shared" si="0"/>
        <v>980079</v>
      </c>
    </row>
    <row r="66" spans="2:14" x14ac:dyDescent="0.3">
      <c r="B66" s="27">
        <f>'Sum of Billing Determinants'!A74</f>
        <v>10183</v>
      </c>
      <c r="C66" s="27" t="str">
        <f>'Sum of Billing Determinants'!B74</f>
        <v>Franklin County PUD #1</v>
      </c>
      <c r="D66" s="31">
        <f>ROUND('Sum of Billing Determinants'!E74*'Rate Calculations'!$G$9*(1-'Sum of Billing Determinants'!$AC74), 0)</f>
        <v>41435</v>
      </c>
      <c r="E66" s="31">
        <f>ROUND('Sum of Billing Determinants'!F74*'Rate Calculations'!$G$9*(1-'Sum of Billing Determinants'!$AC74), 0)</f>
        <v>34539</v>
      </c>
      <c r="F66" s="31">
        <f>ROUND('Sum of Billing Determinants'!G74*'Rate Calculations'!$G$9*(1-'Sum of Billing Determinants'!$AC74), 0)</f>
        <v>31289</v>
      </c>
      <c r="G66" s="31">
        <f>ROUND('Sum of Billing Determinants'!H74*'Rate Calculations'!$G$9*(1-'Sum of Billing Determinants'!$AC74), 0)</f>
        <v>34803</v>
      </c>
      <c r="H66" s="31">
        <f>ROUND('Sum of Billing Determinants'!I74*'Rate Calculations'!$G$9*(1-'Sum of Billing Determinants'!$AC74), 0)</f>
        <v>28337</v>
      </c>
      <c r="I66" s="31">
        <f>ROUND('Sum of Billing Determinants'!J74*'Rate Calculations'!$G$9*(1-'Sum of Billing Determinants'!$AC74), 0)</f>
        <v>38216</v>
      </c>
      <c r="J66" s="31">
        <f>ROUND('Sum of Billing Determinants'!K74*'Rate Calculations'!$G$9*(1-'Sum of Billing Determinants'!$AC74), 0)</f>
        <v>48761</v>
      </c>
      <c r="K66" s="31">
        <f>ROUND('Sum of Billing Determinants'!L74*'Rate Calculations'!$G$9*(1-'Sum of Billing Determinants'!$AC74), 0)</f>
        <v>38230</v>
      </c>
      <c r="L66" s="31">
        <f>ROUND('Sum of Billing Determinants'!M74*'Rate Calculations'!$G$9*(1-'Sum of Billing Determinants'!$AC74), 0)</f>
        <v>37229</v>
      </c>
      <c r="M66" s="31">
        <f>ROUND('Sum of Billing Determinants'!N74*'Rate Calculations'!$G$9*(1-'Sum of Billing Determinants'!$AC74), 0)</f>
        <v>33423</v>
      </c>
      <c r="N66" s="31">
        <f t="shared" si="0"/>
        <v>366262</v>
      </c>
    </row>
    <row r="67" spans="2:14" x14ac:dyDescent="0.3">
      <c r="B67" s="27">
        <f>'Sum of Billing Determinants'!A75</f>
        <v>10186</v>
      </c>
      <c r="C67" s="27" t="str">
        <f>'Sum of Billing Determinants'!B75</f>
        <v>Glacier Elec  Coop</v>
      </c>
      <c r="D67" s="31">
        <f>ROUND('Sum of Billing Determinants'!E75*'Rate Calculations'!$G$9*(1-'Sum of Billing Determinants'!$AC75), 0)</f>
        <v>11066</v>
      </c>
      <c r="E67" s="31">
        <f>ROUND('Sum of Billing Determinants'!F75*'Rate Calculations'!$G$9*(1-'Sum of Billing Determinants'!$AC75), 0)</f>
        <v>9224</v>
      </c>
      <c r="F67" s="31">
        <f>ROUND('Sum of Billing Determinants'!G75*'Rate Calculations'!$G$9*(1-'Sum of Billing Determinants'!$AC75), 0)</f>
        <v>8356</v>
      </c>
      <c r="G67" s="31">
        <f>ROUND('Sum of Billing Determinants'!H75*'Rate Calculations'!$G$9*(1-'Sum of Billing Determinants'!$AC75), 0)</f>
        <v>9295</v>
      </c>
      <c r="H67" s="31">
        <f>ROUND('Sum of Billing Determinants'!I75*'Rate Calculations'!$G$9*(1-'Sum of Billing Determinants'!$AC75), 0)</f>
        <v>7568</v>
      </c>
      <c r="I67" s="31">
        <f>ROUND('Sum of Billing Determinants'!J75*'Rate Calculations'!$G$9*(1-'Sum of Billing Determinants'!$AC75), 0)</f>
        <v>10206</v>
      </c>
      <c r="J67" s="31">
        <f>ROUND('Sum of Billing Determinants'!K75*'Rate Calculations'!$G$9*(1-'Sum of Billing Determinants'!$AC75), 0)</f>
        <v>13022</v>
      </c>
      <c r="K67" s="31">
        <f>ROUND('Sum of Billing Determinants'!L75*'Rate Calculations'!$G$9*(1-'Sum of Billing Determinants'!$AC75), 0)</f>
        <v>10210</v>
      </c>
      <c r="L67" s="31">
        <f>ROUND('Sum of Billing Determinants'!M75*'Rate Calculations'!$G$9*(1-'Sum of Billing Determinants'!$AC75), 0)</f>
        <v>9942</v>
      </c>
      <c r="M67" s="31">
        <f>ROUND('Sum of Billing Determinants'!N75*'Rate Calculations'!$G$9*(1-'Sum of Billing Determinants'!$AC75), 0)</f>
        <v>8926</v>
      </c>
      <c r="N67" s="31">
        <f t="shared" si="0"/>
        <v>97815</v>
      </c>
    </row>
    <row r="68" spans="2:14" x14ac:dyDescent="0.3">
      <c r="B68" s="27">
        <f>'Sum of Billing Determinants'!A76</f>
        <v>10190</v>
      </c>
      <c r="C68" s="27" t="str">
        <f>'Sum of Billing Determinants'!B76</f>
        <v>Grant County PUD #2</v>
      </c>
      <c r="D68" s="31">
        <f>ROUND('Sum of Billing Determinants'!E76*'Rate Calculations'!$G$9*(1-'Sum of Billing Determinants'!$AC76), 0)</f>
        <v>3450</v>
      </c>
      <c r="E68" s="31">
        <f>ROUND('Sum of Billing Determinants'!F76*'Rate Calculations'!$G$9*(1-'Sum of Billing Determinants'!$AC76), 0)</f>
        <v>2876</v>
      </c>
      <c r="F68" s="31">
        <f>ROUND('Sum of Billing Determinants'!G76*'Rate Calculations'!$G$9*(1-'Sum of Billing Determinants'!$AC76), 0)</f>
        <v>2605</v>
      </c>
      <c r="G68" s="31">
        <f>ROUND('Sum of Billing Determinants'!H76*'Rate Calculations'!$G$9*(1-'Sum of Billing Determinants'!$AC76), 0)</f>
        <v>2898</v>
      </c>
      <c r="H68" s="31">
        <f>ROUND('Sum of Billing Determinants'!I76*'Rate Calculations'!$G$9*(1-'Sum of Billing Determinants'!$AC76), 0)</f>
        <v>2360</v>
      </c>
      <c r="I68" s="31">
        <f>ROUND('Sum of Billing Determinants'!J76*'Rate Calculations'!$G$9*(1-'Sum of Billing Determinants'!$AC76), 0)</f>
        <v>3182</v>
      </c>
      <c r="J68" s="31">
        <f>ROUND('Sum of Billing Determinants'!K76*'Rate Calculations'!$G$9*(1-'Sum of Billing Determinants'!$AC76), 0)</f>
        <v>4060</v>
      </c>
      <c r="K68" s="31">
        <f>ROUND('Sum of Billing Determinants'!L76*'Rate Calculations'!$G$9*(1-'Sum of Billing Determinants'!$AC76), 0)</f>
        <v>3183</v>
      </c>
      <c r="L68" s="31">
        <f>ROUND('Sum of Billing Determinants'!M76*'Rate Calculations'!$G$9*(1-'Sum of Billing Determinants'!$AC76), 0)</f>
        <v>3100</v>
      </c>
      <c r="M68" s="31">
        <f>ROUND('Sum of Billing Determinants'!N76*'Rate Calculations'!$G$9*(1-'Sum of Billing Determinants'!$AC76), 0)</f>
        <v>2783</v>
      </c>
      <c r="N68" s="31">
        <f t="shared" si="0"/>
        <v>30497</v>
      </c>
    </row>
    <row r="69" spans="2:14" x14ac:dyDescent="0.3">
      <c r="B69" s="27">
        <f>'Sum of Billing Determinants'!A77</f>
        <v>10191</v>
      </c>
      <c r="C69" s="27" t="str">
        <f>'Sum of Billing Determinants'!B77</f>
        <v>Grays Harbor PUD #1</v>
      </c>
      <c r="D69" s="31">
        <f>ROUND('Sum of Billing Determinants'!E77*'Rate Calculations'!$G$9*(1-'Sum of Billing Determinants'!$AC77), 0)</f>
        <v>41350</v>
      </c>
      <c r="E69" s="31">
        <f>ROUND('Sum of Billing Determinants'!F77*'Rate Calculations'!$G$9*(1-'Sum of Billing Determinants'!$AC77), 0)</f>
        <v>34468</v>
      </c>
      <c r="F69" s="31">
        <f>ROUND('Sum of Billing Determinants'!G77*'Rate Calculations'!$G$9*(1-'Sum of Billing Determinants'!$AC77), 0)</f>
        <v>31224</v>
      </c>
      <c r="G69" s="31">
        <f>ROUND('Sum of Billing Determinants'!H77*'Rate Calculations'!$G$9*(1-'Sum of Billing Determinants'!$AC77), 0)</f>
        <v>34731</v>
      </c>
      <c r="H69" s="31">
        <f>ROUND('Sum of Billing Determinants'!I77*'Rate Calculations'!$G$9*(1-'Sum of Billing Determinants'!$AC77), 0)</f>
        <v>28278</v>
      </c>
      <c r="I69" s="31">
        <f>ROUND('Sum of Billing Determinants'!J77*'Rate Calculations'!$G$9*(1-'Sum of Billing Determinants'!$AC77), 0)</f>
        <v>38137</v>
      </c>
      <c r="J69" s="31">
        <f>ROUND('Sum of Billing Determinants'!K77*'Rate Calculations'!$G$9*(1-'Sum of Billing Determinants'!$AC77), 0)</f>
        <v>48661</v>
      </c>
      <c r="K69" s="31">
        <f>ROUND('Sum of Billing Determinants'!L77*'Rate Calculations'!$G$9*(1-'Sum of Billing Determinants'!$AC77), 0)</f>
        <v>38151</v>
      </c>
      <c r="L69" s="31">
        <f>ROUND('Sum of Billing Determinants'!M77*'Rate Calculations'!$G$9*(1-'Sum of Billing Determinants'!$AC77), 0)</f>
        <v>37152</v>
      </c>
      <c r="M69" s="31">
        <f>ROUND('Sum of Billing Determinants'!N77*'Rate Calculations'!$G$9*(1-'Sum of Billing Determinants'!$AC77), 0)</f>
        <v>33355</v>
      </c>
      <c r="N69" s="31">
        <f t="shared" si="0"/>
        <v>365507</v>
      </c>
    </row>
    <row r="70" spans="2:14" x14ac:dyDescent="0.3">
      <c r="B70" s="27">
        <f>'Sum of Billing Determinants'!A78</f>
        <v>10197</v>
      </c>
      <c r="C70" s="27" t="str">
        <f>'Sum of Billing Determinants'!B78</f>
        <v>Harney Elec Coop</v>
      </c>
      <c r="D70" s="31">
        <f>ROUND('Sum of Billing Determinants'!E78*'Rate Calculations'!$G$9*(1-'Sum of Billing Determinants'!$AC78), 0)</f>
        <v>13946</v>
      </c>
      <c r="E70" s="31">
        <f>ROUND('Sum of Billing Determinants'!F78*'Rate Calculations'!$G$9*(1-'Sum of Billing Determinants'!$AC78), 0)</f>
        <v>11625</v>
      </c>
      <c r="F70" s="31">
        <f>ROUND('Sum of Billing Determinants'!G78*'Rate Calculations'!$G$9*(1-'Sum of Billing Determinants'!$AC78), 0)</f>
        <v>10531</v>
      </c>
      <c r="G70" s="31">
        <f>ROUND('Sum of Billing Determinants'!H78*'Rate Calculations'!$G$9*(1-'Sum of Billing Determinants'!$AC78), 0)</f>
        <v>11714</v>
      </c>
      <c r="H70" s="31">
        <f>ROUND('Sum of Billing Determinants'!I78*'Rate Calculations'!$G$9*(1-'Sum of Billing Determinants'!$AC78), 0)</f>
        <v>9537</v>
      </c>
      <c r="I70" s="31">
        <f>ROUND('Sum of Billing Determinants'!J78*'Rate Calculations'!$G$9*(1-'Sum of Billing Determinants'!$AC78), 0)</f>
        <v>12863</v>
      </c>
      <c r="J70" s="31">
        <f>ROUND('Sum of Billing Determinants'!K78*'Rate Calculations'!$G$9*(1-'Sum of Billing Determinants'!$AC78), 0)</f>
        <v>16412</v>
      </c>
      <c r="K70" s="31">
        <f>ROUND('Sum of Billing Determinants'!L78*'Rate Calculations'!$G$9*(1-'Sum of Billing Determinants'!$AC78), 0)</f>
        <v>12867</v>
      </c>
      <c r="L70" s="31">
        <f>ROUND('Sum of Billing Determinants'!M78*'Rate Calculations'!$G$9*(1-'Sum of Billing Determinants'!$AC78), 0)</f>
        <v>12530</v>
      </c>
      <c r="M70" s="31">
        <f>ROUND('Sum of Billing Determinants'!N78*'Rate Calculations'!$G$9*(1-'Sum of Billing Determinants'!$AC78), 0)</f>
        <v>11250</v>
      </c>
      <c r="N70" s="31">
        <f t="shared" ref="N70:N133" si="1">SUM(D70:M70)</f>
        <v>123275</v>
      </c>
    </row>
    <row r="71" spans="2:14" x14ac:dyDescent="0.3">
      <c r="B71" s="27">
        <f>'Sum of Billing Determinants'!A79</f>
        <v>10202</v>
      </c>
      <c r="C71" s="27" t="str">
        <f>'Sum of Billing Determinants'!B79</f>
        <v>Hood River Elec Coop</v>
      </c>
      <c r="D71" s="31">
        <f>ROUND('Sum of Billing Determinants'!E79*'Rate Calculations'!$G$9*(1-'Sum of Billing Determinants'!$AC79), 0)</f>
        <v>8706</v>
      </c>
      <c r="E71" s="31">
        <f>ROUND('Sum of Billing Determinants'!F79*'Rate Calculations'!$G$9*(1-'Sum of Billing Determinants'!$AC79), 0)</f>
        <v>7257</v>
      </c>
      <c r="F71" s="31">
        <f>ROUND('Sum of Billing Determinants'!G79*'Rate Calculations'!$G$9*(1-'Sum of Billing Determinants'!$AC79), 0)</f>
        <v>6574</v>
      </c>
      <c r="G71" s="31">
        <f>ROUND('Sum of Billing Determinants'!H79*'Rate Calculations'!$G$9*(1-'Sum of Billing Determinants'!$AC79), 0)</f>
        <v>7312</v>
      </c>
      <c r="H71" s="31">
        <f>ROUND('Sum of Billing Determinants'!I79*'Rate Calculations'!$G$9*(1-'Sum of Billing Determinants'!$AC79), 0)</f>
        <v>5954</v>
      </c>
      <c r="I71" s="31">
        <f>ROUND('Sum of Billing Determinants'!J79*'Rate Calculations'!$G$9*(1-'Sum of Billing Determinants'!$AC79), 0)</f>
        <v>8029</v>
      </c>
      <c r="J71" s="31">
        <f>ROUND('Sum of Billing Determinants'!K79*'Rate Calculations'!$G$9*(1-'Sum of Billing Determinants'!$AC79), 0)</f>
        <v>10245</v>
      </c>
      <c r="K71" s="31">
        <f>ROUND('Sum of Billing Determinants'!L79*'Rate Calculations'!$G$9*(1-'Sum of Billing Determinants'!$AC79), 0)</f>
        <v>8032</v>
      </c>
      <c r="L71" s="31">
        <f>ROUND('Sum of Billing Determinants'!M79*'Rate Calculations'!$G$9*(1-'Sum of Billing Determinants'!$AC79), 0)</f>
        <v>7822</v>
      </c>
      <c r="M71" s="31">
        <f>ROUND('Sum of Billing Determinants'!N79*'Rate Calculations'!$G$9*(1-'Sum of Billing Determinants'!$AC79), 0)</f>
        <v>7022</v>
      </c>
      <c r="N71" s="31">
        <f t="shared" si="1"/>
        <v>76953</v>
      </c>
    </row>
    <row r="72" spans="2:14" x14ac:dyDescent="0.3">
      <c r="B72" s="27">
        <f>'Sum of Billing Determinants'!A80</f>
        <v>10203</v>
      </c>
      <c r="C72" s="27" t="str">
        <f>'Sum of Billing Determinants'!B80</f>
        <v>Idaho County L &amp; P</v>
      </c>
      <c r="D72" s="31">
        <f>ROUND('Sum of Billing Determinants'!E80*'Rate Calculations'!$G$9*(1-'Sum of Billing Determinants'!$AC80), 0)</f>
        <v>3830</v>
      </c>
      <c r="E72" s="31">
        <f>ROUND('Sum of Billing Determinants'!F80*'Rate Calculations'!$G$9*(1-'Sum of Billing Determinants'!$AC80), 0)</f>
        <v>3193</v>
      </c>
      <c r="F72" s="31">
        <f>ROUND('Sum of Billing Determinants'!G80*'Rate Calculations'!$G$9*(1-'Sum of Billing Determinants'!$AC80), 0)</f>
        <v>2892</v>
      </c>
      <c r="G72" s="31">
        <f>ROUND('Sum of Billing Determinants'!H80*'Rate Calculations'!$G$9*(1-'Sum of Billing Determinants'!$AC80), 0)</f>
        <v>3217</v>
      </c>
      <c r="H72" s="31">
        <f>ROUND('Sum of Billing Determinants'!I80*'Rate Calculations'!$G$9*(1-'Sum of Billing Determinants'!$AC80), 0)</f>
        <v>2619</v>
      </c>
      <c r="I72" s="31">
        <f>ROUND('Sum of Billing Determinants'!J80*'Rate Calculations'!$G$9*(1-'Sum of Billing Determinants'!$AC80), 0)</f>
        <v>3532</v>
      </c>
      <c r="J72" s="31">
        <f>ROUND('Sum of Billing Determinants'!K80*'Rate Calculations'!$G$9*(1-'Sum of Billing Determinants'!$AC80), 0)</f>
        <v>4507</v>
      </c>
      <c r="K72" s="31">
        <f>ROUND('Sum of Billing Determinants'!L80*'Rate Calculations'!$G$9*(1-'Sum of Billing Determinants'!$AC80), 0)</f>
        <v>3534</v>
      </c>
      <c r="L72" s="31">
        <f>ROUND('Sum of Billing Determinants'!M80*'Rate Calculations'!$G$9*(1-'Sum of Billing Determinants'!$AC80), 0)</f>
        <v>3441</v>
      </c>
      <c r="M72" s="31">
        <f>ROUND('Sum of Billing Determinants'!N80*'Rate Calculations'!$G$9*(1-'Sum of Billing Determinants'!$AC80), 0)</f>
        <v>3089</v>
      </c>
      <c r="N72" s="31">
        <f t="shared" si="1"/>
        <v>33854</v>
      </c>
    </row>
    <row r="73" spans="2:14" x14ac:dyDescent="0.3">
      <c r="B73" s="27">
        <f>'Sum of Billing Determinants'!A81</f>
        <v>10204</v>
      </c>
      <c r="C73" s="27" t="str">
        <f>'Sum of Billing Determinants'!B81</f>
        <v>Idaho Falls Power</v>
      </c>
      <c r="D73" s="31">
        <f>ROUND('Sum of Billing Determinants'!E81*'Rate Calculations'!$G$9*(1-'Sum of Billing Determinants'!$AC81), 0)</f>
        <v>15873</v>
      </c>
      <c r="E73" s="31">
        <f>ROUND('Sum of Billing Determinants'!F81*'Rate Calculations'!$G$9*(1-'Sum of Billing Determinants'!$AC81), 0)</f>
        <v>13231</v>
      </c>
      <c r="F73" s="31">
        <f>ROUND('Sum of Billing Determinants'!G81*'Rate Calculations'!$G$9*(1-'Sum of Billing Determinants'!$AC81), 0)</f>
        <v>11986</v>
      </c>
      <c r="G73" s="31">
        <f>ROUND('Sum of Billing Determinants'!H81*'Rate Calculations'!$G$9*(1-'Sum of Billing Determinants'!$AC81), 0)</f>
        <v>13332</v>
      </c>
      <c r="H73" s="31">
        <f>ROUND('Sum of Billing Determinants'!I81*'Rate Calculations'!$G$9*(1-'Sum of Billing Determinants'!$AC81), 0)</f>
        <v>10855</v>
      </c>
      <c r="I73" s="31">
        <f>ROUND('Sum of Billing Determinants'!J81*'Rate Calculations'!$G$9*(1-'Sum of Billing Determinants'!$AC81), 0)</f>
        <v>14640</v>
      </c>
      <c r="J73" s="31">
        <f>ROUND('Sum of Billing Determinants'!K81*'Rate Calculations'!$G$9*(1-'Sum of Billing Determinants'!$AC81), 0)</f>
        <v>18679</v>
      </c>
      <c r="K73" s="31">
        <f>ROUND('Sum of Billing Determinants'!L81*'Rate Calculations'!$G$9*(1-'Sum of Billing Determinants'!$AC81), 0)</f>
        <v>14645</v>
      </c>
      <c r="L73" s="31">
        <f>ROUND('Sum of Billing Determinants'!M81*'Rate Calculations'!$G$9*(1-'Sum of Billing Determinants'!$AC81), 0)</f>
        <v>14261</v>
      </c>
      <c r="M73" s="31">
        <f>ROUND('Sum of Billing Determinants'!N81*'Rate Calculations'!$G$9*(1-'Sum of Billing Determinants'!$AC81), 0)</f>
        <v>12804</v>
      </c>
      <c r="N73" s="31">
        <f t="shared" si="1"/>
        <v>140306</v>
      </c>
    </row>
    <row r="74" spans="2:14" x14ac:dyDescent="0.3">
      <c r="B74" s="27">
        <f>'Sum of Billing Determinants'!A82</f>
        <v>10209</v>
      </c>
      <c r="C74" s="27" t="str">
        <f>'Sum of Billing Determinants'!B82</f>
        <v>Inland P &amp; L</v>
      </c>
      <c r="D74" s="31">
        <f>ROUND('Sum of Billing Determinants'!E82*'Rate Calculations'!$G$9*(1-'Sum of Billing Determinants'!$AC82), 0)</f>
        <v>64558</v>
      </c>
      <c r="E74" s="31">
        <f>ROUND('Sum of Billing Determinants'!F82*'Rate Calculations'!$G$9*(1-'Sum of Billing Determinants'!$AC82), 0)</f>
        <v>53813</v>
      </c>
      <c r="F74" s="31">
        <f>ROUND('Sum of Billing Determinants'!G82*'Rate Calculations'!$G$9*(1-'Sum of Billing Determinants'!$AC82), 0)</f>
        <v>48749</v>
      </c>
      <c r="G74" s="31">
        <f>ROUND('Sum of Billing Determinants'!H82*'Rate Calculations'!$G$9*(1-'Sum of Billing Determinants'!$AC82), 0)</f>
        <v>54225</v>
      </c>
      <c r="H74" s="31">
        <f>ROUND('Sum of Billing Determinants'!I82*'Rate Calculations'!$G$9*(1-'Sum of Billing Determinants'!$AC82), 0)</f>
        <v>44150</v>
      </c>
      <c r="I74" s="31">
        <f>ROUND('Sum of Billing Determinants'!J82*'Rate Calculations'!$G$9*(1-'Sum of Billing Determinants'!$AC82), 0)</f>
        <v>59543</v>
      </c>
      <c r="J74" s="31">
        <f>ROUND('Sum of Billing Determinants'!K82*'Rate Calculations'!$G$9*(1-'Sum of Billing Determinants'!$AC82), 0)</f>
        <v>75972</v>
      </c>
      <c r="K74" s="31">
        <f>ROUND('Sum of Billing Determinants'!L82*'Rate Calculations'!$G$9*(1-'Sum of Billing Determinants'!$AC82), 0)</f>
        <v>59565</v>
      </c>
      <c r="L74" s="31">
        <f>ROUND('Sum of Billing Determinants'!M82*'Rate Calculations'!$G$9*(1-'Sum of Billing Determinants'!$AC82), 0)</f>
        <v>58004</v>
      </c>
      <c r="M74" s="31">
        <f>ROUND('Sum of Billing Determinants'!N82*'Rate Calculations'!$G$9*(1-'Sum of Billing Determinants'!$AC82), 0)</f>
        <v>52075</v>
      </c>
      <c r="N74" s="31">
        <f t="shared" si="1"/>
        <v>570654</v>
      </c>
    </row>
    <row r="75" spans="2:14" x14ac:dyDescent="0.3">
      <c r="B75" s="27">
        <f>'Sum of Billing Determinants'!A83</f>
        <v>10230</v>
      </c>
      <c r="C75" s="27" t="str">
        <f>'Sum of Billing Determinants'!B83</f>
        <v>Kittitas County PUD #1</v>
      </c>
      <c r="D75" s="31">
        <f>ROUND('Sum of Billing Determinants'!E83*'Rate Calculations'!$G$9*(1-'Sum of Billing Determinants'!$AC83), 0)</f>
        <v>5884</v>
      </c>
      <c r="E75" s="31">
        <f>ROUND('Sum of Billing Determinants'!F83*'Rate Calculations'!$G$9*(1-'Sum of Billing Determinants'!$AC83), 0)</f>
        <v>4905</v>
      </c>
      <c r="F75" s="31">
        <f>ROUND('Sum of Billing Determinants'!G83*'Rate Calculations'!$G$9*(1-'Sum of Billing Determinants'!$AC83), 0)</f>
        <v>4443</v>
      </c>
      <c r="G75" s="31">
        <f>ROUND('Sum of Billing Determinants'!H83*'Rate Calculations'!$G$9*(1-'Sum of Billing Determinants'!$AC83), 0)</f>
        <v>4942</v>
      </c>
      <c r="H75" s="31">
        <f>ROUND('Sum of Billing Determinants'!I83*'Rate Calculations'!$G$9*(1-'Sum of Billing Determinants'!$AC83), 0)</f>
        <v>4024</v>
      </c>
      <c r="I75" s="31">
        <f>ROUND('Sum of Billing Determinants'!J83*'Rate Calculations'!$G$9*(1-'Sum of Billing Determinants'!$AC83), 0)</f>
        <v>5427</v>
      </c>
      <c r="J75" s="31">
        <f>ROUND('Sum of Billing Determinants'!K83*'Rate Calculations'!$G$9*(1-'Sum of Billing Determinants'!$AC83), 0)</f>
        <v>6924</v>
      </c>
      <c r="K75" s="31">
        <f>ROUND('Sum of Billing Determinants'!L83*'Rate Calculations'!$G$9*(1-'Sum of Billing Determinants'!$AC83), 0)</f>
        <v>5429</v>
      </c>
      <c r="L75" s="31">
        <f>ROUND('Sum of Billing Determinants'!M83*'Rate Calculations'!$G$9*(1-'Sum of Billing Determinants'!$AC83), 0)</f>
        <v>5287</v>
      </c>
      <c r="M75" s="31">
        <f>ROUND('Sum of Billing Determinants'!N83*'Rate Calculations'!$G$9*(1-'Sum of Billing Determinants'!$AC83), 0)</f>
        <v>4746</v>
      </c>
      <c r="N75" s="31">
        <f t="shared" si="1"/>
        <v>52011</v>
      </c>
    </row>
    <row r="76" spans="2:14" x14ac:dyDescent="0.3">
      <c r="B76" s="27">
        <f>'Sum of Billing Determinants'!A84</f>
        <v>10231</v>
      </c>
      <c r="C76" s="27" t="str">
        <f>'Sum of Billing Determinants'!B84</f>
        <v>Klickitat County PUD #1</v>
      </c>
      <c r="D76" s="31">
        <f>ROUND('Sum of Billing Determinants'!E84*'Rate Calculations'!$G$9*(1-'Sum of Billing Determinants'!$AC84), 0)</f>
        <v>22296</v>
      </c>
      <c r="E76" s="31">
        <f>ROUND('Sum of Billing Determinants'!F84*'Rate Calculations'!$G$9*(1-'Sum of Billing Determinants'!$AC84), 0)</f>
        <v>18585</v>
      </c>
      <c r="F76" s="31">
        <f>ROUND('Sum of Billing Determinants'!G84*'Rate Calculations'!$G$9*(1-'Sum of Billing Determinants'!$AC84), 0)</f>
        <v>16836</v>
      </c>
      <c r="G76" s="31">
        <f>ROUND('Sum of Billing Determinants'!H84*'Rate Calculations'!$G$9*(1-'Sum of Billing Determinants'!$AC84), 0)</f>
        <v>18727</v>
      </c>
      <c r="H76" s="31">
        <f>ROUND('Sum of Billing Determinants'!I84*'Rate Calculations'!$G$9*(1-'Sum of Billing Determinants'!$AC84), 0)</f>
        <v>15248</v>
      </c>
      <c r="I76" s="31">
        <f>ROUND('Sum of Billing Determinants'!J84*'Rate Calculations'!$G$9*(1-'Sum of Billing Determinants'!$AC84), 0)</f>
        <v>20564</v>
      </c>
      <c r="J76" s="31">
        <f>ROUND('Sum of Billing Determinants'!K84*'Rate Calculations'!$G$9*(1-'Sum of Billing Determinants'!$AC84), 0)</f>
        <v>26238</v>
      </c>
      <c r="K76" s="31">
        <f>ROUND('Sum of Billing Determinants'!L84*'Rate Calculations'!$G$9*(1-'Sum of Billing Determinants'!$AC84), 0)</f>
        <v>20571</v>
      </c>
      <c r="L76" s="31">
        <f>ROUND('Sum of Billing Determinants'!M84*'Rate Calculations'!$G$9*(1-'Sum of Billing Determinants'!$AC84), 0)</f>
        <v>20032</v>
      </c>
      <c r="M76" s="31">
        <f>ROUND('Sum of Billing Determinants'!N84*'Rate Calculations'!$G$9*(1-'Sum of Billing Determinants'!$AC84), 0)</f>
        <v>17985</v>
      </c>
      <c r="N76" s="31">
        <f t="shared" si="1"/>
        <v>197082</v>
      </c>
    </row>
    <row r="77" spans="2:14" x14ac:dyDescent="0.3">
      <c r="B77" s="27">
        <f>'Sum of Billing Determinants'!A85</f>
        <v>10234</v>
      </c>
      <c r="C77" s="27" t="str">
        <f>'Sum of Billing Determinants'!B85</f>
        <v>Kootenai Electric Coop</v>
      </c>
      <c r="D77" s="31">
        <f>ROUND('Sum of Billing Determinants'!E85*'Rate Calculations'!$G$9*(1-'Sum of Billing Determinants'!$AC85), 0)</f>
        <v>31876</v>
      </c>
      <c r="E77" s="31">
        <f>ROUND('Sum of Billing Determinants'!F85*'Rate Calculations'!$G$9*(1-'Sum of Billing Determinants'!$AC85), 0)</f>
        <v>26571</v>
      </c>
      <c r="F77" s="31">
        <f>ROUND('Sum of Billing Determinants'!G85*'Rate Calculations'!$G$9*(1-'Sum of Billing Determinants'!$AC85), 0)</f>
        <v>24070</v>
      </c>
      <c r="G77" s="31">
        <f>ROUND('Sum of Billing Determinants'!H85*'Rate Calculations'!$G$9*(1-'Sum of Billing Determinants'!$AC85), 0)</f>
        <v>26774</v>
      </c>
      <c r="H77" s="31">
        <f>ROUND('Sum of Billing Determinants'!I85*'Rate Calculations'!$G$9*(1-'Sum of Billing Determinants'!$AC85), 0)</f>
        <v>21799</v>
      </c>
      <c r="I77" s="31">
        <f>ROUND('Sum of Billing Determinants'!J85*'Rate Calculations'!$G$9*(1-'Sum of Billing Determinants'!$AC85), 0)</f>
        <v>29400</v>
      </c>
      <c r="J77" s="31">
        <f>ROUND('Sum of Billing Determinants'!K85*'Rate Calculations'!$G$9*(1-'Sum of Billing Determinants'!$AC85), 0)</f>
        <v>37512</v>
      </c>
      <c r="K77" s="31">
        <f>ROUND('Sum of Billing Determinants'!L85*'Rate Calculations'!$G$9*(1-'Sum of Billing Determinants'!$AC85), 0)</f>
        <v>29410</v>
      </c>
      <c r="L77" s="31">
        <f>ROUND('Sum of Billing Determinants'!M85*'Rate Calculations'!$G$9*(1-'Sum of Billing Determinants'!$AC85), 0)</f>
        <v>28640</v>
      </c>
      <c r="M77" s="31">
        <f>ROUND('Sum of Billing Determinants'!N85*'Rate Calculations'!$G$9*(1-'Sum of Billing Determinants'!$AC85), 0)</f>
        <v>25713</v>
      </c>
      <c r="N77" s="31">
        <f t="shared" si="1"/>
        <v>281765</v>
      </c>
    </row>
    <row r="78" spans="2:14" x14ac:dyDescent="0.3">
      <c r="B78" s="27">
        <f>'Sum of Billing Determinants'!A86</f>
        <v>10235</v>
      </c>
      <c r="C78" s="27" t="str">
        <f>'Sum of Billing Determinants'!B86</f>
        <v>Lakeview L &amp; P (WA)</v>
      </c>
      <c r="D78" s="31">
        <f>ROUND('Sum of Billing Determinants'!E86*'Rate Calculations'!$G$9*(1-'Sum of Billing Determinants'!$AC86), 0)</f>
        <v>21002</v>
      </c>
      <c r="E78" s="31">
        <f>ROUND('Sum of Billing Determinants'!F86*'Rate Calculations'!$G$9*(1-'Sum of Billing Determinants'!$AC86), 0)</f>
        <v>17506</v>
      </c>
      <c r="F78" s="31">
        <f>ROUND('Sum of Billing Determinants'!G86*'Rate Calculations'!$G$9*(1-'Sum of Billing Determinants'!$AC86), 0)</f>
        <v>15859</v>
      </c>
      <c r="G78" s="31">
        <f>ROUND('Sum of Billing Determinants'!H86*'Rate Calculations'!$G$9*(1-'Sum of Billing Determinants'!$AC86), 0)</f>
        <v>17640</v>
      </c>
      <c r="H78" s="31">
        <f>ROUND('Sum of Billing Determinants'!I86*'Rate Calculations'!$G$9*(1-'Sum of Billing Determinants'!$AC86), 0)</f>
        <v>14362</v>
      </c>
      <c r="I78" s="31">
        <f>ROUND('Sum of Billing Determinants'!J86*'Rate Calculations'!$G$9*(1-'Sum of Billing Determinants'!$AC86), 0)</f>
        <v>19370</v>
      </c>
      <c r="J78" s="31">
        <f>ROUND('Sum of Billing Determinants'!K86*'Rate Calculations'!$G$9*(1-'Sum of Billing Determinants'!$AC86), 0)</f>
        <v>24715</v>
      </c>
      <c r="K78" s="31">
        <f>ROUND('Sum of Billing Determinants'!L86*'Rate Calculations'!$G$9*(1-'Sum of Billing Determinants'!$AC86), 0)</f>
        <v>19377</v>
      </c>
      <c r="L78" s="31">
        <f>ROUND('Sum of Billing Determinants'!M86*'Rate Calculations'!$G$9*(1-'Sum of Billing Determinants'!$AC86), 0)</f>
        <v>18869</v>
      </c>
      <c r="M78" s="31">
        <f>ROUND('Sum of Billing Determinants'!N86*'Rate Calculations'!$G$9*(1-'Sum of Billing Determinants'!$AC86), 0)</f>
        <v>16941</v>
      </c>
      <c r="N78" s="31">
        <f t="shared" si="1"/>
        <v>185641</v>
      </c>
    </row>
    <row r="79" spans="2:14" x14ac:dyDescent="0.3">
      <c r="B79" s="27">
        <f>'Sum of Billing Determinants'!A87</f>
        <v>10236</v>
      </c>
      <c r="C79" s="27" t="str">
        <f>'Sum of Billing Determinants'!B87</f>
        <v>Lane County Elec Coop</v>
      </c>
      <c r="D79" s="31">
        <f>ROUND('Sum of Billing Determinants'!E87*'Rate Calculations'!$G$9*(1-'Sum of Billing Determinants'!$AC87), 0)</f>
        <v>17142</v>
      </c>
      <c r="E79" s="31">
        <f>ROUND('Sum of Billing Determinants'!F87*'Rate Calculations'!$G$9*(1-'Sum of Billing Determinants'!$AC87), 0)</f>
        <v>14289</v>
      </c>
      <c r="F79" s="31">
        <f>ROUND('Sum of Billing Determinants'!G87*'Rate Calculations'!$G$9*(1-'Sum of Billing Determinants'!$AC87), 0)</f>
        <v>12944</v>
      </c>
      <c r="G79" s="31">
        <f>ROUND('Sum of Billing Determinants'!H87*'Rate Calculations'!$G$9*(1-'Sum of Billing Determinants'!$AC87), 0)</f>
        <v>14398</v>
      </c>
      <c r="H79" s="31">
        <f>ROUND('Sum of Billing Determinants'!I87*'Rate Calculations'!$G$9*(1-'Sum of Billing Determinants'!$AC87), 0)</f>
        <v>11723</v>
      </c>
      <c r="I79" s="31">
        <f>ROUND('Sum of Billing Determinants'!J87*'Rate Calculations'!$G$9*(1-'Sum of Billing Determinants'!$AC87), 0)</f>
        <v>15810</v>
      </c>
      <c r="J79" s="31">
        <f>ROUND('Sum of Billing Determinants'!K87*'Rate Calculations'!$G$9*(1-'Sum of Billing Determinants'!$AC87), 0)</f>
        <v>20172</v>
      </c>
      <c r="K79" s="31">
        <f>ROUND('Sum of Billing Determinants'!L87*'Rate Calculations'!$G$9*(1-'Sum of Billing Determinants'!$AC87), 0)</f>
        <v>15816</v>
      </c>
      <c r="L79" s="31">
        <f>ROUND('Sum of Billing Determinants'!M87*'Rate Calculations'!$G$9*(1-'Sum of Billing Determinants'!$AC87), 0)</f>
        <v>15401</v>
      </c>
      <c r="M79" s="31">
        <f>ROUND('Sum of Billing Determinants'!N87*'Rate Calculations'!$G$9*(1-'Sum of Billing Determinants'!$AC87), 0)</f>
        <v>13827</v>
      </c>
      <c r="N79" s="31">
        <f t="shared" si="1"/>
        <v>151522</v>
      </c>
    </row>
    <row r="80" spans="2:14" x14ac:dyDescent="0.3">
      <c r="B80" s="27">
        <f>'Sum of Billing Determinants'!A88</f>
        <v>10237</v>
      </c>
      <c r="C80" s="27" t="str">
        <f>'Sum of Billing Determinants'!B88</f>
        <v>Lewis County PUD #1</v>
      </c>
      <c r="D80" s="31">
        <f>ROUND('Sum of Billing Determinants'!E88*'Rate Calculations'!$G$9*(1-'Sum of Billing Determinants'!$AC88), 0)</f>
        <v>26420</v>
      </c>
      <c r="E80" s="31">
        <f>ROUND('Sum of Billing Determinants'!F88*'Rate Calculations'!$G$9*(1-'Sum of Billing Determinants'!$AC88), 0)</f>
        <v>22022</v>
      </c>
      <c r="F80" s="31">
        <f>ROUND('Sum of Billing Determinants'!G88*'Rate Calculations'!$G$9*(1-'Sum of Billing Determinants'!$AC88), 0)</f>
        <v>19950</v>
      </c>
      <c r="G80" s="31">
        <f>ROUND('Sum of Billing Determinants'!H88*'Rate Calculations'!$G$9*(1-'Sum of Billing Determinants'!$AC88), 0)</f>
        <v>22191</v>
      </c>
      <c r="H80" s="31">
        <f>ROUND('Sum of Billing Determinants'!I88*'Rate Calculations'!$G$9*(1-'Sum of Billing Determinants'!$AC88), 0)</f>
        <v>18068</v>
      </c>
      <c r="I80" s="31">
        <f>ROUND('Sum of Billing Determinants'!J88*'Rate Calculations'!$G$9*(1-'Sum of Billing Determinants'!$AC88), 0)</f>
        <v>24367</v>
      </c>
      <c r="J80" s="31">
        <f>ROUND('Sum of Billing Determinants'!K88*'Rate Calculations'!$G$9*(1-'Sum of Billing Determinants'!$AC88), 0)</f>
        <v>31091</v>
      </c>
      <c r="K80" s="31">
        <f>ROUND('Sum of Billing Determinants'!L88*'Rate Calculations'!$G$9*(1-'Sum of Billing Determinants'!$AC88), 0)</f>
        <v>24376</v>
      </c>
      <c r="L80" s="31">
        <f>ROUND('Sum of Billing Determinants'!M88*'Rate Calculations'!$G$9*(1-'Sum of Billing Determinants'!$AC88), 0)</f>
        <v>23737</v>
      </c>
      <c r="M80" s="31">
        <f>ROUND('Sum of Billing Determinants'!N88*'Rate Calculations'!$G$9*(1-'Sum of Billing Determinants'!$AC88), 0)</f>
        <v>21311</v>
      </c>
      <c r="N80" s="31">
        <f t="shared" si="1"/>
        <v>233533</v>
      </c>
    </row>
    <row r="81" spans="2:14" x14ac:dyDescent="0.3">
      <c r="B81" s="27">
        <f>'Sum of Billing Determinants'!A89</f>
        <v>10239</v>
      </c>
      <c r="C81" s="27" t="str">
        <f>'Sum of Billing Determinants'!B89</f>
        <v>Lincoln Elec Coop (MT)</v>
      </c>
      <c r="D81" s="31">
        <f>ROUND('Sum of Billing Determinants'!E89*'Rate Calculations'!$G$9*(1-'Sum of Billing Determinants'!$AC89), 0)</f>
        <v>8653</v>
      </c>
      <c r="E81" s="31">
        <f>ROUND('Sum of Billing Determinants'!F89*'Rate Calculations'!$G$9*(1-'Sum of Billing Determinants'!$AC89), 0)</f>
        <v>7213</v>
      </c>
      <c r="F81" s="31">
        <f>ROUND('Sum of Billing Determinants'!G89*'Rate Calculations'!$G$9*(1-'Sum of Billing Determinants'!$AC89), 0)</f>
        <v>6534</v>
      </c>
      <c r="G81" s="31">
        <f>ROUND('Sum of Billing Determinants'!H89*'Rate Calculations'!$G$9*(1-'Sum of Billing Determinants'!$AC89), 0)</f>
        <v>7268</v>
      </c>
      <c r="H81" s="31">
        <f>ROUND('Sum of Billing Determinants'!I89*'Rate Calculations'!$G$9*(1-'Sum of Billing Determinants'!$AC89), 0)</f>
        <v>5918</v>
      </c>
      <c r="I81" s="31">
        <f>ROUND('Sum of Billing Determinants'!J89*'Rate Calculations'!$G$9*(1-'Sum of Billing Determinants'!$AC89), 0)</f>
        <v>7981</v>
      </c>
      <c r="J81" s="31">
        <f>ROUND('Sum of Billing Determinants'!K89*'Rate Calculations'!$G$9*(1-'Sum of Billing Determinants'!$AC89), 0)</f>
        <v>10183</v>
      </c>
      <c r="K81" s="31">
        <f>ROUND('Sum of Billing Determinants'!L89*'Rate Calculations'!$G$9*(1-'Sum of Billing Determinants'!$AC89), 0)</f>
        <v>7984</v>
      </c>
      <c r="L81" s="31">
        <f>ROUND('Sum of Billing Determinants'!M89*'Rate Calculations'!$G$9*(1-'Sum of Billing Determinants'!$AC89), 0)</f>
        <v>7775</v>
      </c>
      <c r="M81" s="31">
        <f>ROUND('Sum of Billing Determinants'!N89*'Rate Calculations'!$G$9*(1-'Sum of Billing Determinants'!$AC89), 0)</f>
        <v>6980</v>
      </c>
      <c r="N81" s="31">
        <f t="shared" si="1"/>
        <v>76489</v>
      </c>
    </row>
    <row r="82" spans="2:14" x14ac:dyDescent="0.3">
      <c r="B82" s="27">
        <f>'Sum of Billing Determinants'!A90</f>
        <v>10242</v>
      </c>
      <c r="C82" s="27" t="str">
        <f>'Sum of Billing Determinants'!B90</f>
        <v>Lost River Elec Coop</v>
      </c>
      <c r="D82" s="31">
        <f>ROUND('Sum of Billing Determinants'!E90*'Rate Calculations'!$G$9*(1-'Sum of Billing Determinants'!$AC90), 0)</f>
        <v>5867</v>
      </c>
      <c r="E82" s="31">
        <f>ROUND('Sum of Billing Determinants'!F90*'Rate Calculations'!$G$9*(1-'Sum of Billing Determinants'!$AC90), 0)</f>
        <v>4890</v>
      </c>
      <c r="F82" s="31">
        <f>ROUND('Sum of Billing Determinants'!G90*'Rate Calculations'!$G$9*(1-'Sum of Billing Determinants'!$AC90), 0)</f>
        <v>4430</v>
      </c>
      <c r="G82" s="31">
        <f>ROUND('Sum of Billing Determinants'!H90*'Rate Calculations'!$G$9*(1-'Sum of Billing Determinants'!$AC90), 0)</f>
        <v>4928</v>
      </c>
      <c r="H82" s="31">
        <f>ROUND('Sum of Billing Determinants'!I90*'Rate Calculations'!$G$9*(1-'Sum of Billing Determinants'!$AC90), 0)</f>
        <v>4012</v>
      </c>
      <c r="I82" s="31">
        <f>ROUND('Sum of Billing Determinants'!J90*'Rate Calculations'!$G$9*(1-'Sum of Billing Determinants'!$AC90), 0)</f>
        <v>5411</v>
      </c>
      <c r="J82" s="31">
        <f>ROUND('Sum of Billing Determinants'!K90*'Rate Calculations'!$G$9*(1-'Sum of Billing Determinants'!$AC90), 0)</f>
        <v>6904</v>
      </c>
      <c r="K82" s="31">
        <f>ROUND('Sum of Billing Determinants'!L90*'Rate Calculations'!$G$9*(1-'Sum of Billing Determinants'!$AC90), 0)</f>
        <v>5413</v>
      </c>
      <c r="L82" s="31">
        <f>ROUND('Sum of Billing Determinants'!M90*'Rate Calculations'!$G$9*(1-'Sum of Billing Determinants'!$AC90), 0)</f>
        <v>5271</v>
      </c>
      <c r="M82" s="31">
        <f>ROUND('Sum of Billing Determinants'!N90*'Rate Calculations'!$G$9*(1-'Sum of Billing Determinants'!$AC90), 0)</f>
        <v>4732</v>
      </c>
      <c r="N82" s="31">
        <f t="shared" si="1"/>
        <v>51858</v>
      </c>
    </row>
    <row r="83" spans="2:14" x14ac:dyDescent="0.3">
      <c r="B83" s="27">
        <f>'Sum of Billing Determinants'!A91</f>
        <v>10244</v>
      </c>
      <c r="C83" s="27" t="str">
        <f>'Sum of Billing Determinants'!B91</f>
        <v>Lower Valley Energy</v>
      </c>
      <c r="D83" s="31">
        <f>ROUND('Sum of Billing Determinants'!E91*'Rate Calculations'!$G$9*(1-'Sum of Billing Determinants'!$AC91), 0)</f>
        <v>53634</v>
      </c>
      <c r="E83" s="31">
        <f>ROUND('Sum of Billing Determinants'!F91*'Rate Calculations'!$G$9*(1-'Sum of Billing Determinants'!$AC91), 0)</f>
        <v>44707</v>
      </c>
      <c r="F83" s="31">
        <f>ROUND('Sum of Billing Determinants'!G91*'Rate Calculations'!$G$9*(1-'Sum of Billing Determinants'!$AC91), 0)</f>
        <v>40500</v>
      </c>
      <c r="G83" s="31">
        <f>ROUND('Sum of Billing Determinants'!H91*'Rate Calculations'!$G$9*(1-'Sum of Billing Determinants'!$AC91), 0)</f>
        <v>45049</v>
      </c>
      <c r="H83" s="31">
        <f>ROUND('Sum of Billing Determinants'!I91*'Rate Calculations'!$G$9*(1-'Sum of Billing Determinants'!$AC91), 0)</f>
        <v>36679</v>
      </c>
      <c r="I83" s="31">
        <f>ROUND('Sum of Billing Determinants'!J91*'Rate Calculations'!$G$9*(1-'Sum of Billing Determinants'!$AC91), 0)</f>
        <v>49467</v>
      </c>
      <c r="J83" s="31">
        <f>ROUND('Sum of Billing Determinants'!K91*'Rate Calculations'!$G$9*(1-'Sum of Billing Determinants'!$AC91), 0)</f>
        <v>63116</v>
      </c>
      <c r="K83" s="31">
        <f>ROUND('Sum of Billing Determinants'!L91*'Rate Calculations'!$G$9*(1-'Sum of Billing Determinants'!$AC91), 0)</f>
        <v>49485</v>
      </c>
      <c r="L83" s="31">
        <f>ROUND('Sum of Billing Determinants'!M91*'Rate Calculations'!$G$9*(1-'Sum of Billing Determinants'!$AC91), 0)</f>
        <v>48189</v>
      </c>
      <c r="M83" s="31">
        <f>ROUND('Sum of Billing Determinants'!N91*'Rate Calculations'!$G$9*(1-'Sum of Billing Determinants'!$AC91), 0)</f>
        <v>43263</v>
      </c>
      <c r="N83" s="31">
        <f t="shared" si="1"/>
        <v>474089</v>
      </c>
    </row>
    <row r="84" spans="2:14" x14ac:dyDescent="0.3">
      <c r="B84" s="27">
        <f>'Sum of Billing Determinants'!A92</f>
        <v>10246</v>
      </c>
      <c r="C84" s="27" t="str">
        <f>'Sum of Billing Determinants'!B92</f>
        <v>Mason County PUD #1</v>
      </c>
      <c r="D84" s="31">
        <f>ROUND('Sum of Billing Determinants'!E92*'Rate Calculations'!$G$9*(1-'Sum of Billing Determinants'!$AC92), 0)</f>
        <v>5547</v>
      </c>
      <c r="E84" s="31">
        <f>ROUND('Sum of Billing Determinants'!F92*'Rate Calculations'!$G$9*(1-'Sum of Billing Determinants'!$AC92), 0)</f>
        <v>4624</v>
      </c>
      <c r="F84" s="31">
        <f>ROUND('Sum of Billing Determinants'!G92*'Rate Calculations'!$G$9*(1-'Sum of Billing Determinants'!$AC92), 0)</f>
        <v>4189</v>
      </c>
      <c r="G84" s="31">
        <f>ROUND('Sum of Billing Determinants'!H92*'Rate Calculations'!$G$9*(1-'Sum of Billing Determinants'!$AC92), 0)</f>
        <v>4659</v>
      </c>
      <c r="H84" s="31">
        <f>ROUND('Sum of Billing Determinants'!I92*'Rate Calculations'!$G$9*(1-'Sum of Billing Determinants'!$AC92), 0)</f>
        <v>3793</v>
      </c>
      <c r="I84" s="31">
        <f>ROUND('Sum of Billing Determinants'!J92*'Rate Calculations'!$G$9*(1-'Sum of Billing Determinants'!$AC92), 0)</f>
        <v>5116</v>
      </c>
      <c r="J84" s="31">
        <f>ROUND('Sum of Billing Determinants'!K92*'Rate Calculations'!$G$9*(1-'Sum of Billing Determinants'!$AC92), 0)</f>
        <v>6528</v>
      </c>
      <c r="K84" s="31">
        <f>ROUND('Sum of Billing Determinants'!L92*'Rate Calculations'!$G$9*(1-'Sum of Billing Determinants'!$AC92), 0)</f>
        <v>5118</v>
      </c>
      <c r="L84" s="31">
        <f>ROUND('Sum of Billing Determinants'!M92*'Rate Calculations'!$G$9*(1-'Sum of Billing Determinants'!$AC92), 0)</f>
        <v>4984</v>
      </c>
      <c r="M84" s="31">
        <f>ROUND('Sum of Billing Determinants'!N92*'Rate Calculations'!$G$9*(1-'Sum of Billing Determinants'!$AC92), 0)</f>
        <v>4474</v>
      </c>
      <c r="N84" s="31">
        <f t="shared" si="1"/>
        <v>49032</v>
      </c>
    </row>
    <row r="85" spans="2:14" x14ac:dyDescent="0.3">
      <c r="B85" s="27">
        <f>'Sum of Billing Determinants'!A93</f>
        <v>10247</v>
      </c>
      <c r="C85" s="27" t="str">
        <f>'Sum of Billing Determinants'!B93</f>
        <v>Mason County PUD #3</v>
      </c>
      <c r="D85" s="31">
        <f>ROUND('Sum of Billing Determinants'!E93*'Rate Calculations'!$G$9*(1-'Sum of Billing Determinants'!$AC93), 0)</f>
        <v>50288</v>
      </c>
      <c r="E85" s="31">
        <f>ROUND('Sum of Billing Determinants'!F93*'Rate Calculations'!$G$9*(1-'Sum of Billing Determinants'!$AC93), 0)</f>
        <v>41918</v>
      </c>
      <c r="F85" s="31">
        <f>ROUND('Sum of Billing Determinants'!G93*'Rate Calculations'!$G$9*(1-'Sum of Billing Determinants'!$AC93), 0)</f>
        <v>37974</v>
      </c>
      <c r="G85" s="31">
        <f>ROUND('Sum of Billing Determinants'!H93*'Rate Calculations'!$G$9*(1-'Sum of Billing Determinants'!$AC93), 0)</f>
        <v>42239</v>
      </c>
      <c r="H85" s="31">
        <f>ROUND('Sum of Billing Determinants'!I93*'Rate Calculations'!$G$9*(1-'Sum of Billing Determinants'!$AC93), 0)</f>
        <v>34391</v>
      </c>
      <c r="I85" s="31">
        <f>ROUND('Sum of Billing Determinants'!J93*'Rate Calculations'!$G$9*(1-'Sum of Billing Determinants'!$AC93), 0)</f>
        <v>46381</v>
      </c>
      <c r="J85" s="31">
        <f>ROUND('Sum of Billing Determinants'!K93*'Rate Calculations'!$G$9*(1-'Sum of Billing Determinants'!$AC93), 0)</f>
        <v>59179</v>
      </c>
      <c r="K85" s="31">
        <f>ROUND('Sum of Billing Determinants'!L93*'Rate Calculations'!$G$9*(1-'Sum of Billing Determinants'!$AC93), 0)</f>
        <v>46399</v>
      </c>
      <c r="L85" s="31">
        <f>ROUND('Sum of Billing Determinants'!M93*'Rate Calculations'!$G$9*(1-'Sum of Billing Determinants'!$AC93), 0)</f>
        <v>45183</v>
      </c>
      <c r="M85" s="31">
        <f>ROUND('Sum of Billing Determinants'!N93*'Rate Calculations'!$G$9*(1-'Sum of Billing Determinants'!$AC93), 0)</f>
        <v>40565</v>
      </c>
      <c r="N85" s="31">
        <f t="shared" si="1"/>
        <v>444517</v>
      </c>
    </row>
    <row r="86" spans="2:14" x14ac:dyDescent="0.3">
      <c r="B86" s="27">
        <f>'Sum of Billing Determinants'!A94</f>
        <v>10256</v>
      </c>
      <c r="C86" s="27" t="str">
        <f>'Sum of Billing Determinants'!B94</f>
        <v>Midstate Elec Coop</v>
      </c>
      <c r="D86" s="31">
        <f>ROUND('Sum of Billing Determinants'!E94*'Rate Calculations'!$G$9*(1-'Sum of Billing Determinants'!$AC94), 0)</f>
        <v>29099</v>
      </c>
      <c r="E86" s="31">
        <f>ROUND('Sum of Billing Determinants'!F94*'Rate Calculations'!$G$9*(1-'Sum of Billing Determinants'!$AC94), 0)</f>
        <v>24255</v>
      </c>
      <c r="F86" s="31">
        <f>ROUND('Sum of Billing Determinants'!G94*'Rate Calculations'!$G$9*(1-'Sum of Billing Determinants'!$AC94), 0)</f>
        <v>21973</v>
      </c>
      <c r="G86" s="31">
        <f>ROUND('Sum of Billing Determinants'!H94*'Rate Calculations'!$G$9*(1-'Sum of Billing Determinants'!$AC94), 0)</f>
        <v>24441</v>
      </c>
      <c r="H86" s="31">
        <f>ROUND('Sum of Billing Determinants'!I94*'Rate Calculations'!$G$9*(1-'Sum of Billing Determinants'!$AC94), 0)</f>
        <v>19900</v>
      </c>
      <c r="I86" s="31">
        <f>ROUND('Sum of Billing Determinants'!J94*'Rate Calculations'!$G$9*(1-'Sum of Billing Determinants'!$AC94), 0)</f>
        <v>26838</v>
      </c>
      <c r="J86" s="31">
        <f>ROUND('Sum of Billing Determinants'!K94*'Rate Calculations'!$G$9*(1-'Sum of Billing Determinants'!$AC94), 0)</f>
        <v>34243</v>
      </c>
      <c r="K86" s="31">
        <f>ROUND('Sum of Billing Determinants'!L94*'Rate Calculations'!$G$9*(1-'Sum of Billing Determinants'!$AC94), 0)</f>
        <v>26848</v>
      </c>
      <c r="L86" s="31">
        <f>ROUND('Sum of Billing Determinants'!M94*'Rate Calculations'!$G$9*(1-'Sum of Billing Determinants'!$AC94), 0)</f>
        <v>26144</v>
      </c>
      <c r="M86" s="31">
        <f>ROUND('Sum of Billing Determinants'!N94*'Rate Calculations'!$G$9*(1-'Sum of Billing Determinants'!$AC94), 0)</f>
        <v>23472</v>
      </c>
      <c r="N86" s="31">
        <f t="shared" si="1"/>
        <v>257213</v>
      </c>
    </row>
    <row r="87" spans="2:14" x14ac:dyDescent="0.3">
      <c r="B87" s="27">
        <f>'Sum of Billing Determinants'!A95</f>
        <v>10258</v>
      </c>
      <c r="C87" s="27" t="str">
        <f>'Sum of Billing Determinants'!B95</f>
        <v>Mission Valley</v>
      </c>
      <c r="D87" s="31">
        <f>ROUND('Sum of Billing Determinants'!E95*'Rate Calculations'!$G$9*(1-'Sum of Billing Determinants'!$AC95), 0)</f>
        <v>23830</v>
      </c>
      <c r="E87" s="31">
        <f>ROUND('Sum of Billing Determinants'!F95*'Rate Calculations'!$G$9*(1-'Sum of Billing Determinants'!$AC95), 0)</f>
        <v>19864</v>
      </c>
      <c r="F87" s="31">
        <f>ROUND('Sum of Billing Determinants'!G95*'Rate Calculations'!$G$9*(1-'Sum of Billing Determinants'!$AC95), 0)</f>
        <v>17995</v>
      </c>
      <c r="G87" s="31">
        <f>ROUND('Sum of Billing Determinants'!H95*'Rate Calculations'!$G$9*(1-'Sum of Billing Determinants'!$AC95), 0)</f>
        <v>20016</v>
      </c>
      <c r="H87" s="31">
        <f>ROUND('Sum of Billing Determinants'!I95*'Rate Calculations'!$G$9*(1-'Sum of Billing Determinants'!$AC95), 0)</f>
        <v>16297</v>
      </c>
      <c r="I87" s="31">
        <f>ROUND('Sum of Billing Determinants'!J95*'Rate Calculations'!$G$9*(1-'Sum of Billing Determinants'!$AC95), 0)</f>
        <v>21979</v>
      </c>
      <c r="J87" s="31">
        <f>ROUND('Sum of Billing Determinants'!K95*'Rate Calculations'!$G$9*(1-'Sum of Billing Determinants'!$AC95), 0)</f>
        <v>28043</v>
      </c>
      <c r="K87" s="31">
        <f>ROUND('Sum of Billing Determinants'!L95*'Rate Calculations'!$G$9*(1-'Sum of Billing Determinants'!$AC95), 0)</f>
        <v>21987</v>
      </c>
      <c r="L87" s="31">
        <f>ROUND('Sum of Billing Determinants'!M95*'Rate Calculations'!$G$9*(1-'Sum of Billing Determinants'!$AC95), 0)</f>
        <v>21411</v>
      </c>
      <c r="M87" s="31">
        <f>ROUND('Sum of Billing Determinants'!N95*'Rate Calculations'!$G$9*(1-'Sum of Billing Determinants'!$AC95), 0)</f>
        <v>19222</v>
      </c>
      <c r="N87" s="31">
        <f t="shared" si="1"/>
        <v>210644</v>
      </c>
    </row>
    <row r="88" spans="2:14" x14ac:dyDescent="0.3">
      <c r="B88" s="27">
        <f>'Sum of Billing Determinants'!A96</f>
        <v>10259</v>
      </c>
      <c r="C88" s="27" t="str">
        <f>'Sum of Billing Determinants'!B96</f>
        <v>Missoula Elec Coop</v>
      </c>
      <c r="D88" s="31">
        <f>ROUND('Sum of Billing Determinants'!E96*'Rate Calculations'!$G$9*(1-'Sum of Billing Determinants'!$AC96), 0)</f>
        <v>16765</v>
      </c>
      <c r="E88" s="31">
        <f>ROUND('Sum of Billing Determinants'!F96*'Rate Calculations'!$G$9*(1-'Sum of Billing Determinants'!$AC96), 0)</f>
        <v>13975</v>
      </c>
      <c r="F88" s="31">
        <f>ROUND('Sum of Billing Determinants'!G96*'Rate Calculations'!$G$9*(1-'Sum of Billing Determinants'!$AC96), 0)</f>
        <v>12660</v>
      </c>
      <c r="G88" s="31">
        <f>ROUND('Sum of Billing Determinants'!H96*'Rate Calculations'!$G$9*(1-'Sum of Billing Determinants'!$AC96), 0)</f>
        <v>14082</v>
      </c>
      <c r="H88" s="31">
        <f>ROUND('Sum of Billing Determinants'!I96*'Rate Calculations'!$G$9*(1-'Sum of Billing Determinants'!$AC96), 0)</f>
        <v>11465</v>
      </c>
      <c r="I88" s="31">
        <f>ROUND('Sum of Billing Determinants'!J96*'Rate Calculations'!$G$9*(1-'Sum of Billing Determinants'!$AC96), 0)</f>
        <v>15463</v>
      </c>
      <c r="J88" s="31">
        <f>ROUND('Sum of Billing Determinants'!K96*'Rate Calculations'!$G$9*(1-'Sum of Billing Determinants'!$AC96), 0)</f>
        <v>19729</v>
      </c>
      <c r="K88" s="31">
        <f>ROUND('Sum of Billing Determinants'!L96*'Rate Calculations'!$G$9*(1-'Sum of Billing Determinants'!$AC96), 0)</f>
        <v>15468</v>
      </c>
      <c r="L88" s="31">
        <f>ROUND('Sum of Billing Determinants'!M96*'Rate Calculations'!$G$9*(1-'Sum of Billing Determinants'!$AC96), 0)</f>
        <v>15063</v>
      </c>
      <c r="M88" s="31">
        <f>ROUND('Sum of Billing Determinants'!N96*'Rate Calculations'!$G$9*(1-'Sum of Billing Determinants'!$AC96), 0)</f>
        <v>13524</v>
      </c>
      <c r="N88" s="31">
        <f t="shared" si="1"/>
        <v>148194</v>
      </c>
    </row>
    <row r="89" spans="2:14" x14ac:dyDescent="0.3">
      <c r="B89" s="27">
        <f>'Sum of Billing Determinants'!A97</f>
        <v>10260</v>
      </c>
      <c r="C89" s="27" t="str">
        <f>'Sum of Billing Determinants'!B97</f>
        <v>Modern Elec Coop</v>
      </c>
      <c r="D89" s="31">
        <f>ROUND('Sum of Billing Determinants'!E97*'Rate Calculations'!$G$9*(1-'Sum of Billing Determinants'!$AC97), 0)</f>
        <v>17470</v>
      </c>
      <c r="E89" s="31">
        <f>ROUND('Sum of Billing Determinants'!F97*'Rate Calculations'!$G$9*(1-'Sum of Billing Determinants'!$AC97), 0)</f>
        <v>14562</v>
      </c>
      <c r="F89" s="31">
        <f>ROUND('Sum of Billing Determinants'!G97*'Rate Calculations'!$G$9*(1-'Sum of Billing Determinants'!$AC97), 0)</f>
        <v>13192</v>
      </c>
      <c r="G89" s="31">
        <f>ROUND('Sum of Billing Determinants'!H97*'Rate Calculations'!$G$9*(1-'Sum of Billing Determinants'!$AC97), 0)</f>
        <v>14674</v>
      </c>
      <c r="H89" s="31">
        <f>ROUND('Sum of Billing Determinants'!I97*'Rate Calculations'!$G$9*(1-'Sum of Billing Determinants'!$AC97), 0)</f>
        <v>11947</v>
      </c>
      <c r="I89" s="31">
        <f>ROUND('Sum of Billing Determinants'!J97*'Rate Calculations'!$G$9*(1-'Sum of Billing Determinants'!$AC97), 0)</f>
        <v>16113</v>
      </c>
      <c r="J89" s="31">
        <f>ROUND('Sum of Billing Determinants'!K97*'Rate Calculations'!$G$9*(1-'Sum of Billing Determinants'!$AC97), 0)</f>
        <v>20559</v>
      </c>
      <c r="K89" s="31">
        <f>ROUND('Sum of Billing Determinants'!L97*'Rate Calculations'!$G$9*(1-'Sum of Billing Determinants'!$AC97), 0)</f>
        <v>16119</v>
      </c>
      <c r="L89" s="31">
        <f>ROUND('Sum of Billing Determinants'!M97*'Rate Calculations'!$G$9*(1-'Sum of Billing Determinants'!$AC97), 0)</f>
        <v>15697</v>
      </c>
      <c r="M89" s="31">
        <f>ROUND('Sum of Billing Determinants'!N97*'Rate Calculations'!$G$9*(1-'Sum of Billing Determinants'!$AC97), 0)</f>
        <v>14092</v>
      </c>
      <c r="N89" s="31">
        <f t="shared" si="1"/>
        <v>154425</v>
      </c>
    </row>
    <row r="90" spans="2:14" x14ac:dyDescent="0.3">
      <c r="B90" s="27">
        <f>'Sum of Billing Determinants'!A98</f>
        <v>10273</v>
      </c>
      <c r="C90" s="27" t="str">
        <f>'Sum of Billing Determinants'!B98</f>
        <v>Nespelem Valley Elec Coop</v>
      </c>
      <c r="D90" s="31">
        <f>ROUND('Sum of Billing Determinants'!E98*'Rate Calculations'!$G$9*(1-'Sum of Billing Determinants'!$AC98), 0)</f>
        <v>3532</v>
      </c>
      <c r="E90" s="31">
        <f>ROUND('Sum of Billing Determinants'!F98*'Rate Calculations'!$G$9*(1-'Sum of Billing Determinants'!$AC98), 0)</f>
        <v>2944</v>
      </c>
      <c r="F90" s="31">
        <f>ROUND('Sum of Billing Determinants'!G98*'Rate Calculations'!$G$9*(1-'Sum of Billing Determinants'!$AC98), 0)</f>
        <v>2667</v>
      </c>
      <c r="G90" s="31">
        <f>ROUND('Sum of Billing Determinants'!H98*'Rate Calculations'!$G$9*(1-'Sum of Billing Determinants'!$AC98), 0)</f>
        <v>2966</v>
      </c>
      <c r="H90" s="31">
        <f>ROUND('Sum of Billing Determinants'!I98*'Rate Calculations'!$G$9*(1-'Sum of Billing Determinants'!$AC98), 0)</f>
        <v>2415</v>
      </c>
      <c r="I90" s="31">
        <f>ROUND('Sum of Billing Determinants'!J98*'Rate Calculations'!$G$9*(1-'Sum of Billing Determinants'!$AC98), 0)</f>
        <v>3257</v>
      </c>
      <c r="J90" s="31">
        <f>ROUND('Sum of Billing Determinants'!K98*'Rate Calculations'!$G$9*(1-'Sum of Billing Determinants'!$AC98), 0)</f>
        <v>4156</v>
      </c>
      <c r="K90" s="31">
        <f>ROUND('Sum of Billing Determinants'!L98*'Rate Calculations'!$G$9*(1-'Sum of Billing Determinants'!$AC98), 0)</f>
        <v>3259</v>
      </c>
      <c r="L90" s="31">
        <f>ROUND('Sum of Billing Determinants'!M98*'Rate Calculations'!$G$9*(1-'Sum of Billing Determinants'!$AC98), 0)</f>
        <v>3173</v>
      </c>
      <c r="M90" s="31">
        <f>ROUND('Sum of Billing Determinants'!N98*'Rate Calculations'!$G$9*(1-'Sum of Billing Determinants'!$AC98), 0)</f>
        <v>2849</v>
      </c>
      <c r="N90" s="31">
        <f t="shared" si="1"/>
        <v>31218</v>
      </c>
    </row>
    <row r="91" spans="2:14" x14ac:dyDescent="0.3">
      <c r="B91" s="27">
        <f>'Sum of Billing Determinants'!A99</f>
        <v>10278</v>
      </c>
      <c r="C91" s="27" t="str">
        <f>'Sum of Billing Determinants'!B99</f>
        <v>Northern Lights</v>
      </c>
      <c r="D91" s="31">
        <f>ROUND('Sum of Billing Determinants'!E99*'Rate Calculations'!$G$9*(1-'Sum of Billing Determinants'!$AC99), 0)</f>
        <v>22274</v>
      </c>
      <c r="E91" s="31">
        <f>ROUND('Sum of Billing Determinants'!F99*'Rate Calculations'!$G$9*(1-'Sum of Billing Determinants'!$AC99), 0)</f>
        <v>18566</v>
      </c>
      <c r="F91" s="31">
        <f>ROUND('Sum of Billing Determinants'!G99*'Rate Calculations'!$G$9*(1-'Sum of Billing Determinants'!$AC99), 0)</f>
        <v>16819</v>
      </c>
      <c r="G91" s="31">
        <f>ROUND('Sum of Billing Determinants'!H99*'Rate Calculations'!$G$9*(1-'Sum of Billing Determinants'!$AC99), 0)</f>
        <v>18708</v>
      </c>
      <c r="H91" s="31">
        <f>ROUND('Sum of Billing Determinants'!I99*'Rate Calculations'!$G$9*(1-'Sum of Billing Determinants'!$AC99), 0)</f>
        <v>15232</v>
      </c>
      <c r="I91" s="31">
        <f>ROUND('Sum of Billing Determinants'!J99*'Rate Calculations'!$G$9*(1-'Sum of Billing Determinants'!$AC99), 0)</f>
        <v>20543</v>
      </c>
      <c r="J91" s="31">
        <f>ROUND('Sum of Billing Determinants'!K99*'Rate Calculations'!$G$9*(1-'Sum of Billing Determinants'!$AC99), 0)</f>
        <v>26212</v>
      </c>
      <c r="K91" s="31">
        <f>ROUND('Sum of Billing Determinants'!L99*'Rate Calculations'!$G$9*(1-'Sum of Billing Determinants'!$AC99), 0)</f>
        <v>20551</v>
      </c>
      <c r="L91" s="31">
        <f>ROUND('Sum of Billing Determinants'!M99*'Rate Calculations'!$G$9*(1-'Sum of Billing Determinants'!$AC99), 0)</f>
        <v>20012</v>
      </c>
      <c r="M91" s="31">
        <f>ROUND('Sum of Billing Determinants'!N99*'Rate Calculations'!$G$9*(1-'Sum of Billing Determinants'!$AC99), 0)</f>
        <v>17967</v>
      </c>
      <c r="N91" s="31">
        <f t="shared" si="1"/>
        <v>196884</v>
      </c>
    </row>
    <row r="92" spans="2:14" x14ac:dyDescent="0.3">
      <c r="B92" s="27">
        <f>'Sum of Billing Determinants'!A100</f>
        <v>10279</v>
      </c>
      <c r="C92" s="27" t="str">
        <f>'Sum of Billing Determinants'!B100</f>
        <v>Northern Wasco County PUD</v>
      </c>
      <c r="D92" s="31">
        <f>ROUND('Sum of Billing Determinants'!E100*'Rate Calculations'!$G$9*(1-'Sum of Billing Determinants'!$AC100), 0)</f>
        <v>43045</v>
      </c>
      <c r="E92" s="31">
        <f>ROUND('Sum of Billing Determinants'!F100*'Rate Calculations'!$G$9*(1-'Sum of Billing Determinants'!$AC100), 0)</f>
        <v>35881</v>
      </c>
      <c r="F92" s="31">
        <f>ROUND('Sum of Billing Determinants'!G100*'Rate Calculations'!$G$9*(1-'Sum of Billing Determinants'!$AC100), 0)</f>
        <v>32504</v>
      </c>
      <c r="G92" s="31">
        <f>ROUND('Sum of Billing Determinants'!H100*'Rate Calculations'!$G$9*(1-'Sum of Billing Determinants'!$AC100), 0)</f>
        <v>36155</v>
      </c>
      <c r="H92" s="31">
        <f>ROUND('Sum of Billing Determinants'!I100*'Rate Calculations'!$G$9*(1-'Sum of Billing Determinants'!$AC100), 0)</f>
        <v>29438</v>
      </c>
      <c r="I92" s="31">
        <f>ROUND('Sum of Billing Determinants'!J100*'Rate Calculations'!$G$9*(1-'Sum of Billing Determinants'!$AC100), 0)</f>
        <v>39701</v>
      </c>
      <c r="J92" s="31">
        <f>ROUND('Sum of Billing Determinants'!K100*'Rate Calculations'!$G$9*(1-'Sum of Billing Determinants'!$AC100), 0)</f>
        <v>50656</v>
      </c>
      <c r="K92" s="31">
        <f>ROUND('Sum of Billing Determinants'!L100*'Rate Calculations'!$G$9*(1-'Sum of Billing Determinants'!$AC100), 0)</f>
        <v>39716</v>
      </c>
      <c r="L92" s="31">
        <f>ROUND('Sum of Billing Determinants'!M100*'Rate Calculations'!$G$9*(1-'Sum of Billing Determinants'!$AC100), 0)</f>
        <v>38675</v>
      </c>
      <c r="M92" s="31">
        <f>ROUND('Sum of Billing Determinants'!N100*'Rate Calculations'!$G$9*(1-'Sum of Billing Determinants'!$AC100), 0)</f>
        <v>34722</v>
      </c>
      <c r="N92" s="31">
        <f t="shared" si="1"/>
        <v>380493</v>
      </c>
    </row>
    <row r="93" spans="2:14" x14ac:dyDescent="0.3">
      <c r="B93" s="27">
        <f>'Sum of Billing Determinants'!A101</f>
        <v>10284</v>
      </c>
      <c r="C93" s="27" t="str">
        <f>'Sum of Billing Determinants'!B101</f>
        <v>Ohop Mutual Light Company</v>
      </c>
      <c r="D93" s="31">
        <f>ROUND('Sum of Billing Determinants'!E101*'Rate Calculations'!$G$9*(1-'Sum of Billing Determinants'!$AC101), 0)</f>
        <v>6237</v>
      </c>
      <c r="E93" s="31">
        <f>ROUND('Sum of Billing Determinants'!F101*'Rate Calculations'!$G$9*(1-'Sum of Billing Determinants'!$AC101), 0)</f>
        <v>5199</v>
      </c>
      <c r="F93" s="31">
        <f>ROUND('Sum of Billing Determinants'!G101*'Rate Calculations'!$G$9*(1-'Sum of Billing Determinants'!$AC101), 0)</f>
        <v>4710</v>
      </c>
      <c r="G93" s="31">
        <f>ROUND('Sum of Billing Determinants'!H101*'Rate Calculations'!$G$9*(1-'Sum of Billing Determinants'!$AC101), 0)</f>
        <v>5239</v>
      </c>
      <c r="H93" s="31">
        <f>ROUND('Sum of Billing Determinants'!I101*'Rate Calculations'!$G$9*(1-'Sum of Billing Determinants'!$AC101), 0)</f>
        <v>4265</v>
      </c>
      <c r="I93" s="31">
        <f>ROUND('Sum of Billing Determinants'!J101*'Rate Calculations'!$G$9*(1-'Sum of Billing Determinants'!$AC101), 0)</f>
        <v>5753</v>
      </c>
      <c r="J93" s="31">
        <f>ROUND('Sum of Billing Determinants'!K101*'Rate Calculations'!$G$9*(1-'Sum of Billing Determinants'!$AC101), 0)</f>
        <v>7340</v>
      </c>
      <c r="K93" s="31">
        <f>ROUND('Sum of Billing Determinants'!L101*'Rate Calculations'!$G$9*(1-'Sum of Billing Determinants'!$AC101), 0)</f>
        <v>5755</v>
      </c>
      <c r="L93" s="31">
        <f>ROUND('Sum of Billing Determinants'!M101*'Rate Calculations'!$G$9*(1-'Sum of Billing Determinants'!$AC101), 0)</f>
        <v>5604</v>
      </c>
      <c r="M93" s="31">
        <f>ROUND('Sum of Billing Determinants'!N101*'Rate Calculations'!$G$9*(1-'Sum of Billing Determinants'!$AC101), 0)</f>
        <v>5031</v>
      </c>
      <c r="N93" s="31">
        <f t="shared" si="1"/>
        <v>55133</v>
      </c>
    </row>
    <row r="94" spans="2:14" x14ac:dyDescent="0.3">
      <c r="B94" s="27">
        <f>'Sum of Billing Determinants'!A102</f>
        <v>10285</v>
      </c>
      <c r="C94" s="27" t="str">
        <f>'Sum of Billing Determinants'!B102</f>
        <v>Okanogan County Elec Coop</v>
      </c>
      <c r="D94" s="31">
        <f>ROUND('Sum of Billing Determinants'!E102*'Rate Calculations'!$G$9*(1-'Sum of Billing Determinants'!$AC102), 0)</f>
        <v>4037</v>
      </c>
      <c r="E94" s="31">
        <f>ROUND('Sum of Billing Determinants'!F102*'Rate Calculations'!$G$9*(1-'Sum of Billing Determinants'!$AC102), 0)</f>
        <v>3365</v>
      </c>
      <c r="F94" s="31">
        <f>ROUND('Sum of Billing Determinants'!G102*'Rate Calculations'!$G$9*(1-'Sum of Billing Determinants'!$AC102), 0)</f>
        <v>3048</v>
      </c>
      <c r="G94" s="31">
        <f>ROUND('Sum of Billing Determinants'!H102*'Rate Calculations'!$G$9*(1-'Sum of Billing Determinants'!$AC102), 0)</f>
        <v>3391</v>
      </c>
      <c r="H94" s="31">
        <f>ROUND('Sum of Billing Determinants'!I102*'Rate Calculations'!$G$9*(1-'Sum of Billing Determinants'!$AC102), 0)</f>
        <v>2761</v>
      </c>
      <c r="I94" s="31">
        <f>ROUND('Sum of Billing Determinants'!J102*'Rate Calculations'!$G$9*(1-'Sum of Billing Determinants'!$AC102), 0)</f>
        <v>3723</v>
      </c>
      <c r="J94" s="31">
        <f>ROUND('Sum of Billing Determinants'!K102*'Rate Calculations'!$G$9*(1-'Sum of Billing Determinants'!$AC102), 0)</f>
        <v>4751</v>
      </c>
      <c r="K94" s="31">
        <f>ROUND('Sum of Billing Determinants'!L102*'Rate Calculations'!$G$9*(1-'Sum of Billing Determinants'!$AC102), 0)</f>
        <v>3725</v>
      </c>
      <c r="L94" s="31">
        <f>ROUND('Sum of Billing Determinants'!M102*'Rate Calculations'!$G$9*(1-'Sum of Billing Determinants'!$AC102), 0)</f>
        <v>3627</v>
      </c>
      <c r="M94" s="31">
        <f>ROUND('Sum of Billing Determinants'!N102*'Rate Calculations'!$G$9*(1-'Sum of Billing Determinants'!$AC102), 0)</f>
        <v>3256</v>
      </c>
      <c r="N94" s="31">
        <f t="shared" si="1"/>
        <v>35684</v>
      </c>
    </row>
    <row r="95" spans="2:14" x14ac:dyDescent="0.3">
      <c r="B95" s="27">
        <f>'Sum of Billing Determinants'!A103</f>
        <v>10286</v>
      </c>
      <c r="C95" s="27" t="str">
        <f>'Sum of Billing Determinants'!B103</f>
        <v>Okanogan County PUD #1</v>
      </c>
      <c r="D95" s="31">
        <f>ROUND('Sum of Billing Determinants'!E103*'Rate Calculations'!$G$9*(1-'Sum of Billing Determinants'!$AC103), 0)</f>
        <v>30514</v>
      </c>
      <c r="E95" s="31">
        <f>ROUND('Sum of Billing Determinants'!F103*'Rate Calculations'!$G$9*(1-'Sum of Billing Determinants'!$AC103), 0)</f>
        <v>25435</v>
      </c>
      <c r="F95" s="31">
        <f>ROUND('Sum of Billing Determinants'!G103*'Rate Calculations'!$G$9*(1-'Sum of Billing Determinants'!$AC103), 0)</f>
        <v>23042</v>
      </c>
      <c r="G95" s="31">
        <f>ROUND('Sum of Billing Determinants'!H103*'Rate Calculations'!$G$9*(1-'Sum of Billing Determinants'!$AC103), 0)</f>
        <v>25630</v>
      </c>
      <c r="H95" s="31">
        <f>ROUND('Sum of Billing Determinants'!I103*'Rate Calculations'!$G$9*(1-'Sum of Billing Determinants'!$AC103), 0)</f>
        <v>20868</v>
      </c>
      <c r="I95" s="31">
        <f>ROUND('Sum of Billing Determinants'!J103*'Rate Calculations'!$G$9*(1-'Sum of Billing Determinants'!$AC103), 0)</f>
        <v>28143</v>
      </c>
      <c r="J95" s="31">
        <f>ROUND('Sum of Billing Determinants'!K103*'Rate Calculations'!$G$9*(1-'Sum of Billing Determinants'!$AC103), 0)</f>
        <v>35909</v>
      </c>
      <c r="K95" s="31">
        <f>ROUND('Sum of Billing Determinants'!L103*'Rate Calculations'!$G$9*(1-'Sum of Billing Determinants'!$AC103), 0)</f>
        <v>28154</v>
      </c>
      <c r="L95" s="31">
        <f>ROUND('Sum of Billing Determinants'!M103*'Rate Calculations'!$G$9*(1-'Sum of Billing Determinants'!$AC103), 0)</f>
        <v>27416</v>
      </c>
      <c r="M95" s="31">
        <f>ROUND('Sum of Billing Determinants'!N103*'Rate Calculations'!$G$9*(1-'Sum of Billing Determinants'!$AC103), 0)</f>
        <v>24614</v>
      </c>
      <c r="N95" s="31">
        <f t="shared" si="1"/>
        <v>269725</v>
      </c>
    </row>
    <row r="96" spans="2:14" x14ac:dyDescent="0.3">
      <c r="B96" s="27">
        <f>'Sum of Billing Determinants'!A104</f>
        <v>10288</v>
      </c>
      <c r="C96" s="27" t="str">
        <f>'Sum of Billing Determinants'!B104</f>
        <v>Orcas P &amp; L</v>
      </c>
      <c r="D96" s="31">
        <f>ROUND('Sum of Billing Determinants'!E104*'Rate Calculations'!$G$9*(1-'Sum of Billing Determinants'!$AC104), 0)</f>
        <v>15286</v>
      </c>
      <c r="E96" s="31">
        <f>ROUND('Sum of Billing Determinants'!F104*'Rate Calculations'!$G$9*(1-'Sum of Billing Determinants'!$AC104), 0)</f>
        <v>12742</v>
      </c>
      <c r="F96" s="31">
        <f>ROUND('Sum of Billing Determinants'!G104*'Rate Calculations'!$G$9*(1-'Sum of Billing Determinants'!$AC104), 0)</f>
        <v>11543</v>
      </c>
      <c r="G96" s="31">
        <f>ROUND('Sum of Billing Determinants'!H104*'Rate Calculations'!$G$9*(1-'Sum of Billing Determinants'!$AC104), 0)</f>
        <v>12840</v>
      </c>
      <c r="H96" s="31">
        <f>ROUND('Sum of Billing Determinants'!I104*'Rate Calculations'!$G$9*(1-'Sum of Billing Determinants'!$AC104), 0)</f>
        <v>10454</v>
      </c>
      <c r="I96" s="31">
        <f>ROUND('Sum of Billing Determinants'!J104*'Rate Calculations'!$G$9*(1-'Sum of Billing Determinants'!$AC104), 0)</f>
        <v>14099</v>
      </c>
      <c r="J96" s="31">
        <f>ROUND('Sum of Billing Determinants'!K104*'Rate Calculations'!$G$9*(1-'Sum of Billing Determinants'!$AC104), 0)</f>
        <v>17989</v>
      </c>
      <c r="K96" s="31">
        <f>ROUND('Sum of Billing Determinants'!L104*'Rate Calculations'!$G$9*(1-'Sum of Billing Determinants'!$AC104), 0)</f>
        <v>14104</v>
      </c>
      <c r="L96" s="31">
        <f>ROUND('Sum of Billing Determinants'!M104*'Rate Calculations'!$G$9*(1-'Sum of Billing Determinants'!$AC104), 0)</f>
        <v>13734</v>
      </c>
      <c r="M96" s="31">
        <f>ROUND('Sum of Billing Determinants'!N104*'Rate Calculations'!$G$9*(1-'Sum of Billing Determinants'!$AC104), 0)</f>
        <v>12331</v>
      </c>
      <c r="N96" s="31">
        <f t="shared" si="1"/>
        <v>135122</v>
      </c>
    </row>
    <row r="97" spans="2:14" x14ac:dyDescent="0.3">
      <c r="B97" s="27">
        <f>'Sum of Billing Determinants'!A105</f>
        <v>10291</v>
      </c>
      <c r="C97" s="27" t="str">
        <f>'Sum of Billing Determinants'!B105</f>
        <v>Oregon Trail Coop</v>
      </c>
      <c r="D97" s="31">
        <f>ROUND('Sum of Billing Determinants'!E105*'Rate Calculations'!$G$9*(1-'Sum of Billing Determinants'!$AC105), 0)</f>
        <v>49985</v>
      </c>
      <c r="E97" s="31">
        <f>ROUND('Sum of Billing Determinants'!F105*'Rate Calculations'!$G$9*(1-'Sum of Billing Determinants'!$AC105), 0)</f>
        <v>41665</v>
      </c>
      <c r="F97" s="31">
        <f>ROUND('Sum of Billing Determinants'!G105*'Rate Calculations'!$G$9*(1-'Sum of Billing Determinants'!$AC105), 0)</f>
        <v>37744</v>
      </c>
      <c r="G97" s="31">
        <f>ROUND('Sum of Billing Determinants'!H105*'Rate Calculations'!$G$9*(1-'Sum of Billing Determinants'!$AC105), 0)</f>
        <v>41984</v>
      </c>
      <c r="H97" s="31">
        <f>ROUND('Sum of Billing Determinants'!I105*'Rate Calculations'!$G$9*(1-'Sum of Billing Determinants'!$AC105), 0)</f>
        <v>34183</v>
      </c>
      <c r="I97" s="31">
        <f>ROUND('Sum of Billing Determinants'!J105*'Rate Calculations'!$G$9*(1-'Sum of Billing Determinants'!$AC105), 0)</f>
        <v>46101</v>
      </c>
      <c r="J97" s="31">
        <f>ROUND('Sum of Billing Determinants'!K105*'Rate Calculations'!$G$9*(1-'Sum of Billing Determinants'!$AC105), 0)</f>
        <v>58822</v>
      </c>
      <c r="K97" s="31">
        <f>ROUND('Sum of Billing Determinants'!L105*'Rate Calculations'!$G$9*(1-'Sum of Billing Determinants'!$AC105), 0)</f>
        <v>46118</v>
      </c>
      <c r="L97" s="31">
        <f>ROUND('Sum of Billing Determinants'!M105*'Rate Calculations'!$G$9*(1-'Sum of Billing Determinants'!$AC105), 0)</f>
        <v>44910</v>
      </c>
      <c r="M97" s="31">
        <f>ROUND('Sum of Billing Determinants'!N105*'Rate Calculations'!$G$9*(1-'Sum of Billing Determinants'!$AC105), 0)</f>
        <v>40320</v>
      </c>
      <c r="N97" s="31">
        <f t="shared" si="1"/>
        <v>441832</v>
      </c>
    </row>
    <row r="98" spans="2:14" x14ac:dyDescent="0.3">
      <c r="B98" s="27">
        <f>'Sum of Billing Determinants'!A106</f>
        <v>10294</v>
      </c>
      <c r="C98" s="27" t="str">
        <f>'Sum of Billing Determinants'!B106</f>
        <v>Pacific County PUD #2</v>
      </c>
      <c r="D98" s="31">
        <f>ROUND('Sum of Billing Determinants'!E106*'Rate Calculations'!$G$9*(1-'Sum of Billing Determinants'!$AC106), 0)</f>
        <v>10928</v>
      </c>
      <c r="E98" s="31">
        <f>ROUND('Sum of Billing Determinants'!F106*'Rate Calculations'!$G$9*(1-'Sum of Billing Determinants'!$AC106), 0)</f>
        <v>9109</v>
      </c>
      <c r="F98" s="31">
        <f>ROUND('Sum of Billing Determinants'!G106*'Rate Calculations'!$G$9*(1-'Sum of Billing Determinants'!$AC106), 0)</f>
        <v>8252</v>
      </c>
      <c r="G98" s="31">
        <f>ROUND('Sum of Billing Determinants'!H106*'Rate Calculations'!$G$9*(1-'Sum of Billing Determinants'!$AC106), 0)</f>
        <v>9179</v>
      </c>
      <c r="H98" s="31">
        <f>ROUND('Sum of Billing Determinants'!I106*'Rate Calculations'!$G$9*(1-'Sum of Billing Determinants'!$AC106), 0)</f>
        <v>7473</v>
      </c>
      <c r="I98" s="31">
        <f>ROUND('Sum of Billing Determinants'!J106*'Rate Calculations'!$G$9*(1-'Sum of Billing Determinants'!$AC106), 0)</f>
        <v>10079</v>
      </c>
      <c r="J98" s="31">
        <f>ROUND('Sum of Billing Determinants'!K106*'Rate Calculations'!$G$9*(1-'Sum of Billing Determinants'!$AC106), 0)</f>
        <v>12860</v>
      </c>
      <c r="K98" s="31">
        <f>ROUND('Sum of Billing Determinants'!L106*'Rate Calculations'!$G$9*(1-'Sum of Billing Determinants'!$AC106), 0)</f>
        <v>10082</v>
      </c>
      <c r="L98" s="31">
        <f>ROUND('Sum of Billing Determinants'!M106*'Rate Calculations'!$G$9*(1-'Sum of Billing Determinants'!$AC106), 0)</f>
        <v>9818</v>
      </c>
      <c r="M98" s="31">
        <f>ROUND('Sum of Billing Determinants'!N106*'Rate Calculations'!$G$9*(1-'Sum of Billing Determinants'!$AC106), 0)</f>
        <v>8815</v>
      </c>
      <c r="N98" s="31">
        <f t="shared" si="1"/>
        <v>96595</v>
      </c>
    </row>
    <row r="99" spans="2:14" x14ac:dyDescent="0.3">
      <c r="B99" s="27">
        <f>'Sum of Billing Determinants'!A107</f>
        <v>10304</v>
      </c>
      <c r="C99" s="27" t="str">
        <f>'Sum of Billing Determinants'!B107</f>
        <v>Parkland L &amp; W</v>
      </c>
      <c r="D99" s="31">
        <f>ROUND('Sum of Billing Determinants'!E107*'Rate Calculations'!$G$9*(1-'Sum of Billing Determinants'!$AC107), 0)</f>
        <v>9135</v>
      </c>
      <c r="E99" s="31">
        <f>ROUND('Sum of Billing Determinants'!F107*'Rate Calculations'!$G$9*(1-'Sum of Billing Determinants'!$AC107), 0)</f>
        <v>7615</v>
      </c>
      <c r="F99" s="31">
        <f>ROUND('Sum of Billing Determinants'!G107*'Rate Calculations'!$G$9*(1-'Sum of Billing Determinants'!$AC107), 0)</f>
        <v>6898</v>
      </c>
      <c r="G99" s="31">
        <f>ROUND('Sum of Billing Determinants'!H107*'Rate Calculations'!$G$9*(1-'Sum of Billing Determinants'!$AC107), 0)</f>
        <v>7673</v>
      </c>
      <c r="H99" s="31">
        <f>ROUND('Sum of Billing Determinants'!I107*'Rate Calculations'!$G$9*(1-'Sum of Billing Determinants'!$AC107), 0)</f>
        <v>6247</v>
      </c>
      <c r="I99" s="31">
        <f>ROUND('Sum of Billing Determinants'!J107*'Rate Calculations'!$G$9*(1-'Sum of Billing Determinants'!$AC107), 0)</f>
        <v>8425</v>
      </c>
      <c r="J99" s="31">
        <f>ROUND('Sum of Billing Determinants'!K107*'Rate Calculations'!$G$9*(1-'Sum of Billing Determinants'!$AC107), 0)</f>
        <v>10750</v>
      </c>
      <c r="K99" s="31">
        <f>ROUND('Sum of Billing Determinants'!L107*'Rate Calculations'!$G$9*(1-'Sum of Billing Determinants'!$AC107), 0)</f>
        <v>8429</v>
      </c>
      <c r="L99" s="31">
        <f>ROUND('Sum of Billing Determinants'!M107*'Rate Calculations'!$G$9*(1-'Sum of Billing Determinants'!$AC107), 0)</f>
        <v>8208</v>
      </c>
      <c r="M99" s="31">
        <f>ROUND('Sum of Billing Determinants'!N107*'Rate Calculations'!$G$9*(1-'Sum of Billing Determinants'!$AC107), 0)</f>
        <v>7369</v>
      </c>
      <c r="N99" s="31">
        <f t="shared" si="1"/>
        <v>80749</v>
      </c>
    </row>
    <row r="100" spans="2:14" x14ac:dyDescent="0.3">
      <c r="B100" s="27">
        <f>'Sum of Billing Determinants'!A108</f>
        <v>10306</v>
      </c>
      <c r="C100" s="27" t="str">
        <f>'Sum of Billing Determinants'!B108</f>
        <v>Pend Oreille County PUD  #1</v>
      </c>
      <c r="D100" s="31">
        <f>ROUND('Sum of Billing Determinants'!E108*'Rate Calculations'!$G$9*(1-'Sum of Billing Determinants'!$AC108), 0)</f>
        <v>14181</v>
      </c>
      <c r="E100" s="31">
        <f>ROUND('Sum of Billing Determinants'!F108*'Rate Calculations'!$G$9*(1-'Sum of Billing Determinants'!$AC108), 0)</f>
        <v>11821</v>
      </c>
      <c r="F100" s="31">
        <f>ROUND('Sum of Billing Determinants'!G108*'Rate Calculations'!$G$9*(1-'Sum of Billing Determinants'!$AC108), 0)</f>
        <v>10709</v>
      </c>
      <c r="G100" s="31">
        <f>ROUND('Sum of Billing Determinants'!H108*'Rate Calculations'!$G$9*(1-'Sum of Billing Determinants'!$AC108), 0)</f>
        <v>11911</v>
      </c>
      <c r="H100" s="31">
        <f>ROUND('Sum of Billing Determinants'!I108*'Rate Calculations'!$G$9*(1-'Sum of Billing Determinants'!$AC108), 0)</f>
        <v>9698</v>
      </c>
      <c r="I100" s="31">
        <f>ROUND('Sum of Billing Determinants'!J108*'Rate Calculations'!$G$9*(1-'Sum of Billing Determinants'!$AC108), 0)</f>
        <v>13080</v>
      </c>
      <c r="J100" s="31">
        <f>ROUND('Sum of Billing Determinants'!K108*'Rate Calculations'!$G$9*(1-'Sum of Billing Determinants'!$AC108), 0)</f>
        <v>16689</v>
      </c>
      <c r="K100" s="31">
        <f>ROUND('Sum of Billing Determinants'!L108*'Rate Calculations'!$G$9*(1-'Sum of Billing Determinants'!$AC108), 0)</f>
        <v>13084</v>
      </c>
      <c r="L100" s="31">
        <f>ROUND('Sum of Billing Determinants'!M108*'Rate Calculations'!$G$9*(1-'Sum of Billing Determinants'!$AC108), 0)</f>
        <v>12742</v>
      </c>
      <c r="M100" s="31">
        <f>ROUND('Sum of Billing Determinants'!N108*'Rate Calculations'!$G$9*(1-'Sum of Billing Determinants'!$AC108), 0)</f>
        <v>11439</v>
      </c>
      <c r="N100" s="31">
        <f t="shared" si="1"/>
        <v>125354</v>
      </c>
    </row>
    <row r="101" spans="2:14" x14ac:dyDescent="0.3">
      <c r="B101" s="27">
        <f>'Sum of Billing Determinants'!A109</f>
        <v>10307</v>
      </c>
      <c r="C101" s="27" t="str">
        <f>'Sum of Billing Determinants'!B109</f>
        <v>Peninsula Light Company</v>
      </c>
      <c r="D101" s="31">
        <f>ROUND('Sum of Billing Determinants'!E109*'Rate Calculations'!$G$9*(1-'Sum of Billing Determinants'!$AC109), 0)</f>
        <v>45067</v>
      </c>
      <c r="E101" s="31">
        <f>ROUND('Sum of Billing Determinants'!F109*'Rate Calculations'!$G$9*(1-'Sum of Billing Determinants'!$AC109), 0)</f>
        <v>37566</v>
      </c>
      <c r="F101" s="31">
        <f>ROUND('Sum of Billing Determinants'!G109*'Rate Calculations'!$G$9*(1-'Sum of Billing Determinants'!$AC109), 0)</f>
        <v>34031</v>
      </c>
      <c r="G101" s="31">
        <f>ROUND('Sum of Billing Determinants'!H109*'Rate Calculations'!$G$9*(1-'Sum of Billing Determinants'!$AC109), 0)</f>
        <v>37853</v>
      </c>
      <c r="H101" s="31">
        <f>ROUND('Sum of Billing Determinants'!I109*'Rate Calculations'!$G$9*(1-'Sum of Billing Determinants'!$AC109), 0)</f>
        <v>30820</v>
      </c>
      <c r="I101" s="31">
        <f>ROUND('Sum of Billing Determinants'!J109*'Rate Calculations'!$G$9*(1-'Sum of Billing Determinants'!$AC109), 0)</f>
        <v>41565</v>
      </c>
      <c r="J101" s="31">
        <f>ROUND('Sum of Billing Determinants'!K109*'Rate Calculations'!$G$9*(1-'Sum of Billing Determinants'!$AC109), 0)</f>
        <v>53035</v>
      </c>
      <c r="K101" s="31">
        <f>ROUND('Sum of Billing Determinants'!L109*'Rate Calculations'!$G$9*(1-'Sum of Billing Determinants'!$AC109), 0)</f>
        <v>41581</v>
      </c>
      <c r="L101" s="31">
        <f>ROUND('Sum of Billing Determinants'!M109*'Rate Calculations'!$G$9*(1-'Sum of Billing Determinants'!$AC109), 0)</f>
        <v>40491</v>
      </c>
      <c r="M101" s="31">
        <f>ROUND('Sum of Billing Determinants'!N109*'Rate Calculations'!$G$9*(1-'Sum of Billing Determinants'!$AC109), 0)</f>
        <v>36353</v>
      </c>
      <c r="N101" s="31">
        <f t="shared" si="1"/>
        <v>398362</v>
      </c>
    </row>
    <row r="102" spans="2:14" x14ac:dyDescent="0.3">
      <c r="B102" s="27">
        <f>'Sum of Billing Determinants'!A110</f>
        <v>10326</v>
      </c>
      <c r="C102" s="27" t="str">
        <f>'Sum of Billing Determinants'!B110</f>
        <v>U.S. Naval Base,  Bremerton</v>
      </c>
      <c r="D102" s="31">
        <f>ROUND('Sum of Billing Determinants'!E110*'Rate Calculations'!$G$9*(1-'Sum of Billing Determinants'!$AC110), 0)</f>
        <v>19725</v>
      </c>
      <c r="E102" s="31">
        <f>ROUND('Sum of Billing Determinants'!F110*'Rate Calculations'!$G$9*(1-'Sum of Billing Determinants'!$AC110), 0)</f>
        <v>16442</v>
      </c>
      <c r="F102" s="31">
        <f>ROUND('Sum of Billing Determinants'!G110*'Rate Calculations'!$G$9*(1-'Sum of Billing Determinants'!$AC110), 0)</f>
        <v>14895</v>
      </c>
      <c r="G102" s="31">
        <f>ROUND('Sum of Billing Determinants'!H110*'Rate Calculations'!$G$9*(1-'Sum of Billing Determinants'!$AC110), 0)</f>
        <v>16568</v>
      </c>
      <c r="H102" s="31">
        <f>ROUND('Sum of Billing Determinants'!I110*'Rate Calculations'!$G$9*(1-'Sum of Billing Determinants'!$AC110), 0)</f>
        <v>13490</v>
      </c>
      <c r="I102" s="31">
        <f>ROUND('Sum of Billing Determinants'!J110*'Rate Calculations'!$G$9*(1-'Sum of Billing Determinants'!$AC110), 0)</f>
        <v>18193</v>
      </c>
      <c r="J102" s="31">
        <f>ROUND('Sum of Billing Determinants'!K110*'Rate Calculations'!$G$9*(1-'Sum of Billing Determinants'!$AC110), 0)</f>
        <v>23213</v>
      </c>
      <c r="K102" s="31">
        <f>ROUND('Sum of Billing Determinants'!L110*'Rate Calculations'!$G$9*(1-'Sum of Billing Determinants'!$AC110), 0)</f>
        <v>18200</v>
      </c>
      <c r="L102" s="31">
        <f>ROUND('Sum of Billing Determinants'!M110*'Rate Calculations'!$G$9*(1-'Sum of Billing Determinants'!$AC110), 0)</f>
        <v>17723</v>
      </c>
      <c r="M102" s="31">
        <f>ROUND('Sum of Billing Determinants'!N110*'Rate Calculations'!$G$9*(1-'Sum of Billing Determinants'!$AC110), 0)</f>
        <v>15911</v>
      </c>
      <c r="N102" s="31">
        <f t="shared" si="1"/>
        <v>174360</v>
      </c>
    </row>
    <row r="103" spans="2:14" x14ac:dyDescent="0.3">
      <c r="B103" s="27">
        <f>'Sum of Billing Determinants'!A111</f>
        <v>10331</v>
      </c>
      <c r="C103" s="27" t="str">
        <f>'Sum of Billing Determinants'!B111</f>
        <v>Raft River Elec Coop</v>
      </c>
      <c r="D103" s="31">
        <f>ROUND('Sum of Billing Determinants'!E111*'Rate Calculations'!$G$9*(1-'Sum of Billing Determinants'!$AC111), 0)</f>
        <v>22330</v>
      </c>
      <c r="E103" s="31">
        <f>ROUND('Sum of Billing Determinants'!F111*'Rate Calculations'!$G$9*(1-'Sum of Billing Determinants'!$AC111), 0)</f>
        <v>18614</v>
      </c>
      <c r="F103" s="31">
        <f>ROUND('Sum of Billing Determinants'!G111*'Rate Calculations'!$G$9*(1-'Sum of Billing Determinants'!$AC111), 0)</f>
        <v>16862</v>
      </c>
      <c r="G103" s="31">
        <f>ROUND('Sum of Billing Determinants'!H111*'Rate Calculations'!$G$9*(1-'Sum of Billing Determinants'!$AC111), 0)</f>
        <v>18756</v>
      </c>
      <c r="H103" s="31">
        <f>ROUND('Sum of Billing Determinants'!I111*'Rate Calculations'!$G$9*(1-'Sum of Billing Determinants'!$AC111), 0)</f>
        <v>15271</v>
      </c>
      <c r="I103" s="31">
        <f>ROUND('Sum of Billing Determinants'!J111*'Rate Calculations'!$G$9*(1-'Sum of Billing Determinants'!$AC111), 0)</f>
        <v>20595</v>
      </c>
      <c r="J103" s="31">
        <f>ROUND('Sum of Billing Determinants'!K111*'Rate Calculations'!$G$9*(1-'Sum of Billing Determinants'!$AC111), 0)</f>
        <v>26278</v>
      </c>
      <c r="K103" s="31">
        <f>ROUND('Sum of Billing Determinants'!L111*'Rate Calculations'!$G$9*(1-'Sum of Billing Determinants'!$AC111), 0)</f>
        <v>20603</v>
      </c>
      <c r="L103" s="31">
        <f>ROUND('Sum of Billing Determinants'!M111*'Rate Calculations'!$G$9*(1-'Sum of Billing Determinants'!$AC111), 0)</f>
        <v>20063</v>
      </c>
      <c r="M103" s="31">
        <f>ROUND('Sum of Billing Determinants'!N111*'Rate Calculations'!$G$9*(1-'Sum of Billing Determinants'!$AC111), 0)</f>
        <v>18013</v>
      </c>
      <c r="N103" s="31">
        <f t="shared" si="1"/>
        <v>197385</v>
      </c>
    </row>
    <row r="104" spans="2:14" x14ac:dyDescent="0.3">
      <c r="B104" s="27">
        <f>'Sum of Billing Determinants'!A112</f>
        <v>10333</v>
      </c>
      <c r="C104" s="27" t="str">
        <f>'Sum of Billing Determinants'!B112</f>
        <v>Ravalli County Elec Coop</v>
      </c>
      <c r="D104" s="31">
        <f>ROUND('Sum of Billing Determinants'!E112*'Rate Calculations'!$G$9*(1-'Sum of Billing Determinants'!$AC112), 0)</f>
        <v>11483</v>
      </c>
      <c r="E104" s="31">
        <f>ROUND('Sum of Billing Determinants'!F112*'Rate Calculations'!$G$9*(1-'Sum of Billing Determinants'!$AC112), 0)</f>
        <v>9572</v>
      </c>
      <c r="F104" s="31">
        <f>ROUND('Sum of Billing Determinants'!G112*'Rate Calculations'!$G$9*(1-'Sum of Billing Determinants'!$AC112), 0)</f>
        <v>8671</v>
      </c>
      <c r="G104" s="31">
        <f>ROUND('Sum of Billing Determinants'!H112*'Rate Calculations'!$G$9*(1-'Sum of Billing Determinants'!$AC112), 0)</f>
        <v>9645</v>
      </c>
      <c r="H104" s="31">
        <f>ROUND('Sum of Billing Determinants'!I112*'Rate Calculations'!$G$9*(1-'Sum of Billing Determinants'!$AC112), 0)</f>
        <v>7853</v>
      </c>
      <c r="I104" s="31">
        <f>ROUND('Sum of Billing Determinants'!J112*'Rate Calculations'!$G$9*(1-'Sum of Billing Determinants'!$AC112), 0)</f>
        <v>10591</v>
      </c>
      <c r="J104" s="31">
        <f>ROUND('Sum of Billing Determinants'!K112*'Rate Calculations'!$G$9*(1-'Sum of Billing Determinants'!$AC112), 0)</f>
        <v>13513</v>
      </c>
      <c r="K104" s="31">
        <f>ROUND('Sum of Billing Determinants'!L112*'Rate Calculations'!$G$9*(1-'Sum of Billing Determinants'!$AC112), 0)</f>
        <v>10595</v>
      </c>
      <c r="L104" s="31">
        <f>ROUND('Sum of Billing Determinants'!M112*'Rate Calculations'!$G$9*(1-'Sum of Billing Determinants'!$AC112), 0)</f>
        <v>10317</v>
      </c>
      <c r="M104" s="31">
        <f>ROUND('Sum of Billing Determinants'!N112*'Rate Calculations'!$G$9*(1-'Sum of Billing Determinants'!$AC112), 0)</f>
        <v>9263</v>
      </c>
      <c r="N104" s="31">
        <f t="shared" si="1"/>
        <v>101503</v>
      </c>
    </row>
    <row r="105" spans="2:14" x14ac:dyDescent="0.3">
      <c r="B105" s="27">
        <f>'Sum of Billing Determinants'!A113</f>
        <v>10338</v>
      </c>
      <c r="C105" s="27" t="str">
        <f>'Sum of Billing Determinants'!B113</f>
        <v>Riverside Elec Coop</v>
      </c>
      <c r="D105" s="31">
        <f>ROUND('Sum of Billing Determinants'!E113*'Rate Calculations'!$G$9*(1-'Sum of Billing Determinants'!$AC113), 0)</f>
        <v>1528</v>
      </c>
      <c r="E105" s="31">
        <f>ROUND('Sum of Billing Determinants'!F113*'Rate Calculations'!$G$9*(1-'Sum of Billing Determinants'!$AC113), 0)</f>
        <v>1274</v>
      </c>
      <c r="F105" s="31">
        <f>ROUND('Sum of Billing Determinants'!G113*'Rate Calculations'!$G$9*(1-'Sum of Billing Determinants'!$AC113), 0)</f>
        <v>1154</v>
      </c>
      <c r="G105" s="31">
        <f>ROUND('Sum of Billing Determinants'!H113*'Rate Calculations'!$G$9*(1-'Sum of Billing Determinants'!$AC113), 0)</f>
        <v>1284</v>
      </c>
      <c r="H105" s="31">
        <f>ROUND('Sum of Billing Determinants'!I113*'Rate Calculations'!$G$9*(1-'Sum of Billing Determinants'!$AC113), 0)</f>
        <v>1045</v>
      </c>
      <c r="I105" s="31">
        <f>ROUND('Sum of Billing Determinants'!J113*'Rate Calculations'!$G$9*(1-'Sum of Billing Determinants'!$AC113), 0)</f>
        <v>1410</v>
      </c>
      <c r="J105" s="31">
        <f>ROUND('Sum of Billing Determinants'!K113*'Rate Calculations'!$G$9*(1-'Sum of Billing Determinants'!$AC113), 0)</f>
        <v>1798</v>
      </c>
      <c r="K105" s="31">
        <f>ROUND('Sum of Billing Determinants'!L113*'Rate Calculations'!$G$9*(1-'Sum of Billing Determinants'!$AC113), 0)</f>
        <v>1410</v>
      </c>
      <c r="L105" s="31">
        <f>ROUND('Sum of Billing Determinants'!M113*'Rate Calculations'!$G$9*(1-'Sum of Billing Determinants'!$AC113), 0)</f>
        <v>1373</v>
      </c>
      <c r="M105" s="31">
        <f>ROUND('Sum of Billing Determinants'!N113*'Rate Calculations'!$G$9*(1-'Sum of Billing Determinants'!$AC113), 0)</f>
        <v>1233</v>
      </c>
      <c r="N105" s="31">
        <f t="shared" si="1"/>
        <v>13509</v>
      </c>
    </row>
    <row r="106" spans="2:14" x14ac:dyDescent="0.3">
      <c r="B106" s="27">
        <f>'Sum of Billing Determinants'!A114</f>
        <v>10342</v>
      </c>
      <c r="C106" s="27" t="str">
        <f>'Sum of Billing Determinants'!B114</f>
        <v>Salem Elec Coop</v>
      </c>
      <c r="D106" s="31">
        <f>ROUND('Sum of Billing Determinants'!E114*'Rate Calculations'!$G$9*(1-'Sum of Billing Determinants'!$AC114), 0)</f>
        <v>25353</v>
      </c>
      <c r="E106" s="31">
        <f>ROUND('Sum of Billing Determinants'!F114*'Rate Calculations'!$G$9*(1-'Sum of Billing Determinants'!$AC114), 0)</f>
        <v>21133</v>
      </c>
      <c r="F106" s="31">
        <f>ROUND('Sum of Billing Determinants'!G114*'Rate Calculations'!$G$9*(1-'Sum of Billing Determinants'!$AC114), 0)</f>
        <v>19144</v>
      </c>
      <c r="G106" s="31">
        <f>ROUND('Sum of Billing Determinants'!H114*'Rate Calculations'!$G$9*(1-'Sum of Billing Determinants'!$AC114), 0)</f>
        <v>21295</v>
      </c>
      <c r="H106" s="31">
        <f>ROUND('Sum of Billing Determinants'!I114*'Rate Calculations'!$G$9*(1-'Sum of Billing Determinants'!$AC114), 0)</f>
        <v>17338</v>
      </c>
      <c r="I106" s="31">
        <f>ROUND('Sum of Billing Determinants'!J114*'Rate Calculations'!$G$9*(1-'Sum of Billing Determinants'!$AC114), 0)</f>
        <v>23383</v>
      </c>
      <c r="J106" s="31">
        <f>ROUND('Sum of Billing Determinants'!K114*'Rate Calculations'!$G$9*(1-'Sum of Billing Determinants'!$AC114), 0)</f>
        <v>29835</v>
      </c>
      <c r="K106" s="31">
        <f>ROUND('Sum of Billing Determinants'!L114*'Rate Calculations'!$G$9*(1-'Sum of Billing Determinants'!$AC114), 0)</f>
        <v>23392</v>
      </c>
      <c r="L106" s="31">
        <f>ROUND('Sum of Billing Determinants'!M114*'Rate Calculations'!$G$9*(1-'Sum of Billing Determinants'!$AC114), 0)</f>
        <v>22779</v>
      </c>
      <c r="M106" s="31">
        <f>ROUND('Sum of Billing Determinants'!N114*'Rate Calculations'!$G$9*(1-'Sum of Billing Determinants'!$AC114), 0)</f>
        <v>20450</v>
      </c>
      <c r="N106" s="31">
        <f t="shared" si="1"/>
        <v>224102</v>
      </c>
    </row>
    <row r="107" spans="2:14" x14ac:dyDescent="0.3">
      <c r="B107" s="27">
        <f>'Sum of Billing Determinants'!A115</f>
        <v>10343</v>
      </c>
      <c r="C107" s="27" t="str">
        <f>'Sum of Billing Determinants'!B115</f>
        <v>Salmon River Elec Coop</v>
      </c>
      <c r="D107" s="31">
        <f>ROUND('Sum of Billing Determinants'!E115*'Rate Calculations'!$G$9*(1-'Sum of Billing Determinants'!$AC115), 0)</f>
        <v>7504</v>
      </c>
      <c r="E107" s="31">
        <f>ROUND('Sum of Billing Determinants'!F115*'Rate Calculations'!$G$9*(1-'Sum of Billing Determinants'!$AC115), 0)</f>
        <v>6255</v>
      </c>
      <c r="F107" s="31">
        <f>ROUND('Sum of Billing Determinants'!G115*'Rate Calculations'!$G$9*(1-'Sum of Billing Determinants'!$AC115), 0)</f>
        <v>5666</v>
      </c>
      <c r="G107" s="31">
        <f>ROUND('Sum of Billing Determinants'!H115*'Rate Calculations'!$G$9*(1-'Sum of Billing Determinants'!$AC115), 0)</f>
        <v>6303</v>
      </c>
      <c r="H107" s="31">
        <f>ROUND('Sum of Billing Determinants'!I115*'Rate Calculations'!$G$9*(1-'Sum of Billing Determinants'!$AC115), 0)</f>
        <v>5132</v>
      </c>
      <c r="I107" s="31">
        <f>ROUND('Sum of Billing Determinants'!J115*'Rate Calculations'!$G$9*(1-'Sum of Billing Determinants'!$AC115), 0)</f>
        <v>6921</v>
      </c>
      <c r="J107" s="31">
        <f>ROUND('Sum of Billing Determinants'!K115*'Rate Calculations'!$G$9*(1-'Sum of Billing Determinants'!$AC115), 0)</f>
        <v>8831</v>
      </c>
      <c r="K107" s="31">
        <f>ROUND('Sum of Billing Determinants'!L115*'Rate Calculations'!$G$9*(1-'Sum of Billing Determinants'!$AC115), 0)</f>
        <v>6924</v>
      </c>
      <c r="L107" s="31">
        <f>ROUND('Sum of Billing Determinants'!M115*'Rate Calculations'!$G$9*(1-'Sum of Billing Determinants'!$AC115), 0)</f>
        <v>6742</v>
      </c>
      <c r="M107" s="31">
        <f>ROUND('Sum of Billing Determinants'!N115*'Rate Calculations'!$G$9*(1-'Sum of Billing Determinants'!$AC115), 0)</f>
        <v>6053</v>
      </c>
      <c r="N107" s="31">
        <f t="shared" si="1"/>
        <v>66331</v>
      </c>
    </row>
    <row r="108" spans="2:14" x14ac:dyDescent="0.3">
      <c r="B108" s="27">
        <f>'Sum of Billing Determinants'!A116</f>
        <v>10349</v>
      </c>
      <c r="C108" s="27" t="str">
        <f>'Sum of Billing Determinants'!B116</f>
        <v>Seattle City Light</v>
      </c>
      <c r="D108" s="31">
        <f>ROUND('Sum of Billing Determinants'!E116*'Rate Calculations'!$G$9*(1-'Sum of Billing Determinants'!$AC116), 0)</f>
        <v>327356</v>
      </c>
      <c r="E108" s="31">
        <f>ROUND('Sum of Billing Determinants'!F116*'Rate Calculations'!$G$9*(1-'Sum of Billing Determinants'!$AC116), 0)</f>
        <v>272871</v>
      </c>
      <c r="F108" s="31">
        <f>ROUND('Sum of Billing Determinants'!G116*'Rate Calculations'!$G$9*(1-'Sum of Billing Determinants'!$AC116), 0)</f>
        <v>247193</v>
      </c>
      <c r="G108" s="31">
        <f>ROUND('Sum of Billing Determinants'!H116*'Rate Calculations'!$G$9*(1-'Sum of Billing Determinants'!$AC116), 0)</f>
        <v>274957</v>
      </c>
      <c r="H108" s="31">
        <f>ROUND('Sum of Billing Determinants'!I116*'Rate Calculations'!$G$9*(1-'Sum of Billing Determinants'!$AC116), 0)</f>
        <v>223870</v>
      </c>
      <c r="I108" s="31">
        <f>ROUND('Sum of Billing Determinants'!J116*'Rate Calculations'!$G$9*(1-'Sum of Billing Determinants'!$AC116), 0)</f>
        <v>301922</v>
      </c>
      <c r="J108" s="31">
        <f>ROUND('Sum of Billing Determinants'!K116*'Rate Calculations'!$G$9*(1-'Sum of Billing Determinants'!$AC116), 0)</f>
        <v>385232</v>
      </c>
      <c r="K108" s="31">
        <f>ROUND('Sum of Billing Determinants'!L116*'Rate Calculations'!$G$9*(1-'Sum of Billing Determinants'!$AC116), 0)</f>
        <v>302034</v>
      </c>
      <c r="L108" s="31">
        <f>ROUND('Sum of Billing Determinants'!M116*'Rate Calculations'!$G$9*(1-'Sum of Billing Determinants'!$AC116), 0)</f>
        <v>294121</v>
      </c>
      <c r="M108" s="31">
        <f>ROUND('Sum of Billing Determinants'!N116*'Rate Calculations'!$G$9*(1-'Sum of Billing Determinants'!$AC116), 0)</f>
        <v>264058</v>
      </c>
      <c r="N108" s="31">
        <f t="shared" si="1"/>
        <v>2893614</v>
      </c>
    </row>
    <row r="109" spans="2:14" x14ac:dyDescent="0.3">
      <c r="B109" s="27">
        <f>'Sum of Billing Determinants'!A117</f>
        <v>10352</v>
      </c>
      <c r="C109" s="27" t="str">
        <f>'Sum of Billing Determinants'!B117</f>
        <v>Skamania County PUD #1</v>
      </c>
      <c r="D109" s="31">
        <f>ROUND('Sum of Billing Determinants'!E117*'Rate Calculations'!$G$9*(1-'Sum of Billing Determinants'!$AC117), 0)</f>
        <v>9724</v>
      </c>
      <c r="E109" s="31">
        <f>ROUND('Sum of Billing Determinants'!F117*'Rate Calculations'!$G$9*(1-'Sum of Billing Determinants'!$AC117), 0)</f>
        <v>8106</v>
      </c>
      <c r="F109" s="31">
        <f>ROUND('Sum of Billing Determinants'!G117*'Rate Calculations'!$G$9*(1-'Sum of Billing Determinants'!$AC117), 0)</f>
        <v>7343</v>
      </c>
      <c r="G109" s="31">
        <f>ROUND('Sum of Billing Determinants'!H117*'Rate Calculations'!$G$9*(1-'Sum of Billing Determinants'!$AC117), 0)</f>
        <v>8168</v>
      </c>
      <c r="H109" s="31">
        <f>ROUND('Sum of Billing Determinants'!I117*'Rate Calculations'!$G$9*(1-'Sum of Billing Determinants'!$AC117), 0)</f>
        <v>6650</v>
      </c>
      <c r="I109" s="31">
        <f>ROUND('Sum of Billing Determinants'!J117*'Rate Calculations'!$G$9*(1-'Sum of Billing Determinants'!$AC117), 0)</f>
        <v>8969</v>
      </c>
      <c r="J109" s="31">
        <f>ROUND('Sum of Billing Determinants'!K117*'Rate Calculations'!$G$9*(1-'Sum of Billing Determinants'!$AC117), 0)</f>
        <v>11443</v>
      </c>
      <c r="K109" s="31">
        <f>ROUND('Sum of Billing Determinants'!L117*'Rate Calculations'!$G$9*(1-'Sum of Billing Determinants'!$AC117), 0)</f>
        <v>8972</v>
      </c>
      <c r="L109" s="31">
        <f>ROUND('Sum of Billing Determinants'!M117*'Rate Calculations'!$G$9*(1-'Sum of Billing Determinants'!$AC117), 0)</f>
        <v>8737</v>
      </c>
      <c r="M109" s="31">
        <f>ROUND('Sum of Billing Determinants'!N117*'Rate Calculations'!$G$9*(1-'Sum of Billing Determinants'!$AC117), 0)</f>
        <v>7844</v>
      </c>
      <c r="N109" s="31">
        <f t="shared" si="1"/>
        <v>85956</v>
      </c>
    </row>
    <row r="110" spans="2:14" x14ac:dyDescent="0.3">
      <c r="B110" s="27">
        <f>'Sum of Billing Determinants'!A118</f>
        <v>10354</v>
      </c>
      <c r="C110" s="27" t="str">
        <f>'Sum of Billing Determinants'!B118</f>
        <v>Snohomish County PUD #1</v>
      </c>
      <c r="D110" s="31">
        <f>ROUND('Sum of Billing Determinants'!E118*'Rate Calculations'!$G$9*(1-'Sum of Billing Determinants'!$AC118), 0)</f>
        <v>227847</v>
      </c>
      <c r="E110" s="31">
        <f>ROUND('Sum of Billing Determinants'!F118*'Rate Calculations'!$G$9*(1-'Sum of Billing Determinants'!$AC118), 0)</f>
        <v>189924</v>
      </c>
      <c r="F110" s="31">
        <f>ROUND('Sum of Billing Determinants'!G118*'Rate Calculations'!$G$9*(1-'Sum of Billing Determinants'!$AC118), 0)</f>
        <v>172052</v>
      </c>
      <c r="G110" s="31">
        <f>ROUND('Sum of Billing Determinants'!H118*'Rate Calculations'!$G$9*(1-'Sum of Billing Determinants'!$AC118), 0)</f>
        <v>191376</v>
      </c>
      <c r="H110" s="31">
        <f>ROUND('Sum of Billing Determinants'!I118*'Rate Calculations'!$G$9*(1-'Sum of Billing Determinants'!$AC118), 0)</f>
        <v>155819</v>
      </c>
      <c r="I110" s="31">
        <f>ROUND('Sum of Billing Determinants'!J118*'Rate Calculations'!$G$9*(1-'Sum of Billing Determinants'!$AC118), 0)</f>
        <v>210145</v>
      </c>
      <c r="J110" s="31">
        <f>ROUND('Sum of Billing Determinants'!K118*'Rate Calculations'!$G$9*(1-'Sum of Billing Determinants'!$AC118), 0)</f>
        <v>268130</v>
      </c>
      <c r="K110" s="31">
        <f>ROUND('Sum of Billing Determinants'!L118*'Rate Calculations'!$G$9*(1-'Sum of Billing Determinants'!$AC118), 0)</f>
        <v>210223</v>
      </c>
      <c r="L110" s="31">
        <f>ROUND('Sum of Billing Determinants'!M118*'Rate Calculations'!$G$9*(1-'Sum of Billing Determinants'!$AC118), 0)</f>
        <v>204715</v>
      </c>
      <c r="M110" s="31">
        <f>ROUND('Sum of Billing Determinants'!N118*'Rate Calculations'!$G$9*(1-'Sum of Billing Determinants'!$AC118), 0)</f>
        <v>183791</v>
      </c>
      <c r="N110" s="31">
        <f t="shared" si="1"/>
        <v>2014022</v>
      </c>
    </row>
    <row r="111" spans="2:14" x14ac:dyDescent="0.3">
      <c r="B111" s="27">
        <f>'Sum of Billing Determinants'!A119</f>
        <v>10360</v>
      </c>
      <c r="C111" s="27" t="str">
        <f>'Sum of Billing Determinants'!B119</f>
        <v>Southside Elec Lines</v>
      </c>
      <c r="D111" s="31">
        <f>ROUND('Sum of Billing Determinants'!E119*'Rate Calculations'!$G$9*(1-'Sum of Billing Determinants'!$AC119), 0)</f>
        <v>4281</v>
      </c>
      <c r="E111" s="31">
        <f>ROUND('Sum of Billing Determinants'!F119*'Rate Calculations'!$G$9*(1-'Sum of Billing Determinants'!$AC119), 0)</f>
        <v>3569</v>
      </c>
      <c r="F111" s="31">
        <f>ROUND('Sum of Billing Determinants'!G119*'Rate Calculations'!$G$9*(1-'Sum of Billing Determinants'!$AC119), 0)</f>
        <v>3233</v>
      </c>
      <c r="G111" s="31">
        <f>ROUND('Sum of Billing Determinants'!H119*'Rate Calculations'!$G$9*(1-'Sum of Billing Determinants'!$AC119), 0)</f>
        <v>3596</v>
      </c>
      <c r="H111" s="31">
        <f>ROUND('Sum of Billing Determinants'!I119*'Rate Calculations'!$G$9*(1-'Sum of Billing Determinants'!$AC119), 0)</f>
        <v>2928</v>
      </c>
      <c r="I111" s="31">
        <f>ROUND('Sum of Billing Determinants'!J119*'Rate Calculations'!$G$9*(1-'Sum of Billing Determinants'!$AC119), 0)</f>
        <v>3949</v>
      </c>
      <c r="J111" s="31">
        <f>ROUND('Sum of Billing Determinants'!K119*'Rate Calculations'!$G$9*(1-'Sum of Billing Determinants'!$AC119), 0)</f>
        <v>5038</v>
      </c>
      <c r="K111" s="31">
        <f>ROUND('Sum of Billing Determinants'!L119*'Rate Calculations'!$G$9*(1-'Sum of Billing Determinants'!$AC119), 0)</f>
        <v>3950</v>
      </c>
      <c r="L111" s="31">
        <f>ROUND('Sum of Billing Determinants'!M119*'Rate Calculations'!$G$9*(1-'Sum of Billing Determinants'!$AC119), 0)</f>
        <v>3846</v>
      </c>
      <c r="M111" s="31">
        <f>ROUND('Sum of Billing Determinants'!N119*'Rate Calculations'!$G$9*(1-'Sum of Billing Determinants'!$AC119), 0)</f>
        <v>3453</v>
      </c>
      <c r="N111" s="31">
        <f t="shared" si="1"/>
        <v>37843</v>
      </c>
    </row>
    <row r="112" spans="2:14" x14ac:dyDescent="0.3">
      <c r="B112" s="27">
        <f>'Sum of Billing Determinants'!A120</f>
        <v>10363</v>
      </c>
      <c r="C112" s="27" t="str">
        <f>'Sum of Billing Determinants'!B120</f>
        <v>Springfield Utility Board</v>
      </c>
      <c r="D112" s="31">
        <f>ROUND('Sum of Billing Determinants'!E120*'Rate Calculations'!$G$9*(1-'Sum of Billing Determinants'!$AC120), 0)</f>
        <v>63357</v>
      </c>
      <c r="E112" s="31">
        <f>ROUND('Sum of Billing Determinants'!F120*'Rate Calculations'!$G$9*(1-'Sum of Billing Determinants'!$AC120), 0)</f>
        <v>52812</v>
      </c>
      <c r="F112" s="31">
        <f>ROUND('Sum of Billing Determinants'!G120*'Rate Calculations'!$G$9*(1-'Sum of Billing Determinants'!$AC120), 0)</f>
        <v>47842</v>
      </c>
      <c r="G112" s="31">
        <f>ROUND('Sum of Billing Determinants'!H120*'Rate Calculations'!$G$9*(1-'Sum of Billing Determinants'!$AC120), 0)</f>
        <v>53216</v>
      </c>
      <c r="H112" s="31">
        <f>ROUND('Sum of Billing Determinants'!I120*'Rate Calculations'!$G$9*(1-'Sum of Billing Determinants'!$AC120), 0)</f>
        <v>43328</v>
      </c>
      <c r="I112" s="31">
        <f>ROUND('Sum of Billing Determinants'!J120*'Rate Calculations'!$G$9*(1-'Sum of Billing Determinants'!$AC120), 0)</f>
        <v>58435</v>
      </c>
      <c r="J112" s="31">
        <f>ROUND('Sum of Billing Determinants'!K120*'Rate Calculations'!$G$9*(1-'Sum of Billing Determinants'!$AC120), 0)</f>
        <v>74559</v>
      </c>
      <c r="K112" s="31">
        <f>ROUND('Sum of Billing Determinants'!L120*'Rate Calculations'!$G$9*(1-'Sum of Billing Determinants'!$AC120), 0)</f>
        <v>58457</v>
      </c>
      <c r="L112" s="31">
        <f>ROUND('Sum of Billing Determinants'!M120*'Rate Calculations'!$G$9*(1-'Sum of Billing Determinants'!$AC120), 0)</f>
        <v>56925</v>
      </c>
      <c r="M112" s="31">
        <f>ROUND('Sum of Billing Determinants'!N120*'Rate Calculations'!$G$9*(1-'Sum of Billing Determinants'!$AC120), 0)</f>
        <v>51107</v>
      </c>
      <c r="N112" s="31">
        <f t="shared" si="1"/>
        <v>560038</v>
      </c>
    </row>
    <row r="113" spans="2:14" x14ac:dyDescent="0.3">
      <c r="B113" s="27">
        <f>'Sum of Billing Determinants'!A121</f>
        <v>10369</v>
      </c>
      <c r="C113" s="27" t="str">
        <f>'Sum of Billing Determinants'!B121</f>
        <v>Surprise Valley Elec Coop</v>
      </c>
      <c r="D113" s="31">
        <f>ROUND('Sum of Billing Determinants'!E121*'Rate Calculations'!$G$9*(1-'Sum of Billing Determinants'!$AC121), 0)</f>
        <v>10079</v>
      </c>
      <c r="E113" s="31">
        <f>ROUND('Sum of Billing Determinants'!F121*'Rate Calculations'!$G$9*(1-'Sum of Billing Determinants'!$AC121), 0)</f>
        <v>8401</v>
      </c>
      <c r="F113" s="31">
        <f>ROUND('Sum of Billing Determinants'!G121*'Rate Calculations'!$G$9*(1-'Sum of Billing Determinants'!$AC121), 0)</f>
        <v>7611</v>
      </c>
      <c r="G113" s="31">
        <f>ROUND('Sum of Billing Determinants'!H121*'Rate Calculations'!$G$9*(1-'Sum of Billing Determinants'!$AC121), 0)</f>
        <v>8466</v>
      </c>
      <c r="H113" s="31">
        <f>ROUND('Sum of Billing Determinants'!I121*'Rate Calculations'!$G$9*(1-'Sum of Billing Determinants'!$AC121), 0)</f>
        <v>6893</v>
      </c>
      <c r="I113" s="31">
        <f>ROUND('Sum of Billing Determinants'!J121*'Rate Calculations'!$G$9*(1-'Sum of Billing Determinants'!$AC121), 0)</f>
        <v>9296</v>
      </c>
      <c r="J113" s="31">
        <f>ROUND('Sum of Billing Determinants'!K121*'Rate Calculations'!$G$9*(1-'Sum of Billing Determinants'!$AC121), 0)</f>
        <v>11861</v>
      </c>
      <c r="K113" s="31">
        <f>ROUND('Sum of Billing Determinants'!L121*'Rate Calculations'!$G$9*(1-'Sum of Billing Determinants'!$AC121), 0)</f>
        <v>9299</v>
      </c>
      <c r="L113" s="31">
        <f>ROUND('Sum of Billing Determinants'!M121*'Rate Calculations'!$G$9*(1-'Sum of Billing Determinants'!$AC121), 0)</f>
        <v>9056</v>
      </c>
      <c r="M113" s="31">
        <f>ROUND('Sum of Billing Determinants'!N121*'Rate Calculations'!$G$9*(1-'Sum of Billing Determinants'!$AC121), 0)</f>
        <v>8130</v>
      </c>
      <c r="N113" s="31">
        <f t="shared" si="1"/>
        <v>89092</v>
      </c>
    </row>
    <row r="114" spans="2:14" x14ac:dyDescent="0.3">
      <c r="B114" s="27">
        <f>'Sum of Billing Determinants'!A122</f>
        <v>10370</v>
      </c>
      <c r="C114" s="27" t="str">
        <f>'Sum of Billing Determinants'!B122</f>
        <v>Tacoma Public Utilities</v>
      </c>
      <c r="D114" s="31">
        <f>ROUND('Sum of Billing Determinants'!E122*'Rate Calculations'!$G$9*(1-'Sum of Billing Determinants'!$AC122), 0)</f>
        <v>108333</v>
      </c>
      <c r="E114" s="31">
        <f>ROUND('Sum of Billing Determinants'!F122*'Rate Calculations'!$G$9*(1-'Sum of Billing Determinants'!$AC122), 0)</f>
        <v>90302</v>
      </c>
      <c r="F114" s="31">
        <f>ROUND('Sum of Billing Determinants'!G122*'Rate Calculations'!$G$9*(1-'Sum of Billing Determinants'!$AC122), 0)</f>
        <v>81804</v>
      </c>
      <c r="G114" s="31">
        <f>ROUND('Sum of Billing Determinants'!H122*'Rate Calculations'!$G$9*(1-'Sum of Billing Determinants'!$AC122), 0)</f>
        <v>90992</v>
      </c>
      <c r="H114" s="31">
        <f>ROUND('Sum of Billing Determinants'!I122*'Rate Calculations'!$G$9*(1-'Sum of Billing Determinants'!$AC122), 0)</f>
        <v>74086</v>
      </c>
      <c r="I114" s="31">
        <f>ROUND('Sum of Billing Determinants'!J122*'Rate Calculations'!$G$9*(1-'Sum of Billing Determinants'!$AC122), 0)</f>
        <v>99916</v>
      </c>
      <c r="J114" s="31">
        <f>ROUND('Sum of Billing Determinants'!K122*'Rate Calculations'!$G$9*(1-'Sum of Billing Determinants'!$AC122), 0)</f>
        <v>127486</v>
      </c>
      <c r="K114" s="31">
        <f>ROUND('Sum of Billing Determinants'!L122*'Rate Calculations'!$G$9*(1-'Sum of Billing Determinants'!$AC122), 0)</f>
        <v>99953</v>
      </c>
      <c r="L114" s="31">
        <f>ROUND('Sum of Billing Determinants'!M122*'Rate Calculations'!$G$9*(1-'Sum of Billing Determinants'!$AC122), 0)</f>
        <v>97334</v>
      </c>
      <c r="M114" s="31">
        <f>ROUND('Sum of Billing Determinants'!N122*'Rate Calculations'!$G$9*(1-'Sum of Billing Determinants'!$AC122), 0)</f>
        <v>87386</v>
      </c>
      <c r="N114" s="31">
        <f t="shared" si="1"/>
        <v>957592</v>
      </c>
    </row>
    <row r="115" spans="2:14" x14ac:dyDescent="0.3">
      <c r="B115" s="27">
        <f>'Sum of Billing Determinants'!A123</f>
        <v>10371</v>
      </c>
      <c r="C115" s="27" t="str">
        <f>'Sum of Billing Determinants'!B123</f>
        <v>Tanner Elec Coop</v>
      </c>
      <c r="D115" s="31">
        <f>ROUND('Sum of Billing Determinants'!E123*'Rate Calculations'!$G$9*(1-'Sum of Billing Determinants'!$AC123), 0)</f>
        <v>7332</v>
      </c>
      <c r="E115" s="31">
        <f>ROUND('Sum of Billing Determinants'!F123*'Rate Calculations'!$G$9*(1-'Sum of Billing Determinants'!$AC123), 0)</f>
        <v>6112</v>
      </c>
      <c r="F115" s="31">
        <f>ROUND('Sum of Billing Determinants'!G123*'Rate Calculations'!$G$9*(1-'Sum of Billing Determinants'!$AC123), 0)</f>
        <v>5537</v>
      </c>
      <c r="G115" s="31">
        <f>ROUND('Sum of Billing Determinants'!H123*'Rate Calculations'!$G$9*(1-'Sum of Billing Determinants'!$AC123), 0)</f>
        <v>6159</v>
      </c>
      <c r="H115" s="31">
        <f>ROUND('Sum of Billing Determinants'!I123*'Rate Calculations'!$G$9*(1-'Sum of Billing Determinants'!$AC123), 0)</f>
        <v>5014</v>
      </c>
      <c r="I115" s="31">
        <f>ROUND('Sum of Billing Determinants'!J123*'Rate Calculations'!$G$9*(1-'Sum of Billing Determinants'!$AC123), 0)</f>
        <v>6763</v>
      </c>
      <c r="J115" s="31">
        <f>ROUND('Sum of Billing Determinants'!K123*'Rate Calculations'!$G$9*(1-'Sum of Billing Determinants'!$AC123), 0)</f>
        <v>8629</v>
      </c>
      <c r="K115" s="31">
        <f>ROUND('Sum of Billing Determinants'!L123*'Rate Calculations'!$G$9*(1-'Sum of Billing Determinants'!$AC123), 0)</f>
        <v>6765</v>
      </c>
      <c r="L115" s="31">
        <f>ROUND('Sum of Billing Determinants'!M123*'Rate Calculations'!$G$9*(1-'Sum of Billing Determinants'!$AC123), 0)</f>
        <v>6588</v>
      </c>
      <c r="M115" s="31">
        <f>ROUND('Sum of Billing Determinants'!N123*'Rate Calculations'!$G$9*(1-'Sum of Billing Determinants'!$AC123), 0)</f>
        <v>5915</v>
      </c>
      <c r="N115" s="31">
        <f t="shared" si="1"/>
        <v>64814</v>
      </c>
    </row>
    <row r="116" spans="2:14" x14ac:dyDescent="0.3">
      <c r="B116" s="27">
        <f>'Sum of Billing Determinants'!A124</f>
        <v>10376</v>
      </c>
      <c r="C116" s="27" t="str">
        <f>'Sum of Billing Determinants'!B124</f>
        <v>Tillamook PUD #1</v>
      </c>
      <c r="D116" s="31">
        <f>ROUND('Sum of Billing Determinants'!E124*'Rate Calculations'!$G$9*(1-'Sum of Billing Determinants'!$AC124), 0)</f>
        <v>36420</v>
      </c>
      <c r="E116" s="31">
        <f>ROUND('Sum of Billing Determinants'!F124*'Rate Calculations'!$G$9*(1-'Sum of Billing Determinants'!$AC124), 0)</f>
        <v>30358</v>
      </c>
      <c r="F116" s="31">
        <f>ROUND('Sum of Billing Determinants'!G124*'Rate Calculations'!$G$9*(1-'Sum of Billing Determinants'!$AC124), 0)</f>
        <v>27502</v>
      </c>
      <c r="G116" s="31">
        <f>ROUND('Sum of Billing Determinants'!H124*'Rate Calculations'!$G$9*(1-'Sum of Billing Determinants'!$AC124), 0)</f>
        <v>30591</v>
      </c>
      <c r="H116" s="31">
        <f>ROUND('Sum of Billing Determinants'!I124*'Rate Calculations'!$G$9*(1-'Sum of Billing Determinants'!$AC124), 0)</f>
        <v>24907</v>
      </c>
      <c r="I116" s="31">
        <f>ROUND('Sum of Billing Determinants'!J124*'Rate Calculations'!$G$9*(1-'Sum of Billing Determinants'!$AC124), 0)</f>
        <v>33591</v>
      </c>
      <c r="J116" s="31">
        <f>ROUND('Sum of Billing Determinants'!K124*'Rate Calculations'!$G$9*(1-'Sum of Billing Determinants'!$AC124), 0)</f>
        <v>42859</v>
      </c>
      <c r="K116" s="31">
        <f>ROUND('Sum of Billing Determinants'!L124*'Rate Calculations'!$G$9*(1-'Sum of Billing Determinants'!$AC124), 0)</f>
        <v>33603</v>
      </c>
      <c r="L116" s="31">
        <f>ROUND('Sum of Billing Determinants'!M124*'Rate Calculations'!$G$9*(1-'Sum of Billing Determinants'!$AC124), 0)</f>
        <v>32723</v>
      </c>
      <c r="M116" s="31">
        <f>ROUND('Sum of Billing Determinants'!N124*'Rate Calculations'!$G$9*(1-'Sum of Billing Determinants'!$AC124), 0)</f>
        <v>29378</v>
      </c>
      <c r="N116" s="31">
        <f t="shared" si="1"/>
        <v>321932</v>
      </c>
    </row>
    <row r="117" spans="2:14" x14ac:dyDescent="0.3">
      <c r="B117" s="27">
        <f>'Sum of Billing Determinants'!A125</f>
        <v>10378</v>
      </c>
      <c r="C117" s="27" t="str">
        <f>'Sum of Billing Determinants'!B125</f>
        <v>Coulee Dam, City of</v>
      </c>
      <c r="D117" s="31">
        <f>ROUND('Sum of Billing Determinants'!E125*'Rate Calculations'!$G$9*(1-'Sum of Billing Determinants'!$AC125), 0)</f>
        <v>1272</v>
      </c>
      <c r="E117" s="31">
        <f>ROUND('Sum of Billing Determinants'!F125*'Rate Calculations'!$G$9*(1-'Sum of Billing Determinants'!$AC125), 0)</f>
        <v>1060</v>
      </c>
      <c r="F117" s="31">
        <f>ROUND('Sum of Billing Determinants'!G125*'Rate Calculations'!$G$9*(1-'Sum of Billing Determinants'!$AC125), 0)</f>
        <v>960</v>
      </c>
      <c r="G117" s="31">
        <f>ROUND('Sum of Billing Determinants'!H125*'Rate Calculations'!$G$9*(1-'Sum of Billing Determinants'!$AC125), 0)</f>
        <v>1068</v>
      </c>
      <c r="H117" s="31">
        <f>ROUND('Sum of Billing Determinants'!I125*'Rate Calculations'!$G$9*(1-'Sum of Billing Determinants'!$AC125), 0)</f>
        <v>870</v>
      </c>
      <c r="I117" s="31">
        <f>ROUND('Sum of Billing Determinants'!J125*'Rate Calculations'!$G$9*(1-'Sum of Billing Determinants'!$AC125), 0)</f>
        <v>1173</v>
      </c>
      <c r="J117" s="31">
        <f>ROUND('Sum of Billing Determinants'!K125*'Rate Calculations'!$G$9*(1-'Sum of Billing Determinants'!$AC125), 0)</f>
        <v>1496</v>
      </c>
      <c r="K117" s="31">
        <f>ROUND('Sum of Billing Determinants'!L125*'Rate Calculations'!$G$9*(1-'Sum of Billing Determinants'!$AC125), 0)</f>
        <v>1173</v>
      </c>
      <c r="L117" s="31">
        <f>ROUND('Sum of Billing Determinants'!M125*'Rate Calculations'!$G$9*(1-'Sum of Billing Determinants'!$AC125), 0)</f>
        <v>1142</v>
      </c>
      <c r="M117" s="31">
        <f>ROUND('Sum of Billing Determinants'!N125*'Rate Calculations'!$G$9*(1-'Sum of Billing Determinants'!$AC125), 0)</f>
        <v>1026</v>
      </c>
      <c r="N117" s="31">
        <f t="shared" si="1"/>
        <v>11240</v>
      </c>
    </row>
    <row r="118" spans="2:14" x14ac:dyDescent="0.3">
      <c r="B118" s="27">
        <f>'Sum of Billing Determinants'!A126</f>
        <v>10379</v>
      </c>
      <c r="C118" s="27" t="str">
        <f>'Sum of Billing Determinants'!B126</f>
        <v>Steilacoom, Town of</v>
      </c>
      <c r="D118" s="31">
        <f>ROUND('Sum of Billing Determinants'!E126*'Rate Calculations'!$G$9*(1-'Sum of Billing Determinants'!$AC126), 0)</f>
        <v>3171</v>
      </c>
      <c r="E118" s="31">
        <f>ROUND('Sum of Billing Determinants'!F126*'Rate Calculations'!$G$9*(1-'Sum of Billing Determinants'!$AC126), 0)</f>
        <v>2643</v>
      </c>
      <c r="F118" s="31">
        <f>ROUND('Sum of Billing Determinants'!G126*'Rate Calculations'!$G$9*(1-'Sum of Billing Determinants'!$AC126), 0)</f>
        <v>2394</v>
      </c>
      <c r="G118" s="31">
        <f>ROUND('Sum of Billing Determinants'!H126*'Rate Calculations'!$G$9*(1-'Sum of Billing Determinants'!$AC126), 0)</f>
        <v>2663</v>
      </c>
      <c r="H118" s="31">
        <f>ROUND('Sum of Billing Determinants'!I126*'Rate Calculations'!$G$9*(1-'Sum of Billing Determinants'!$AC126), 0)</f>
        <v>2169</v>
      </c>
      <c r="I118" s="31">
        <f>ROUND('Sum of Billing Determinants'!J126*'Rate Calculations'!$G$9*(1-'Sum of Billing Determinants'!$AC126), 0)</f>
        <v>2925</v>
      </c>
      <c r="J118" s="31">
        <f>ROUND('Sum of Billing Determinants'!K126*'Rate Calculations'!$G$9*(1-'Sum of Billing Determinants'!$AC126), 0)</f>
        <v>3732</v>
      </c>
      <c r="K118" s="31">
        <f>ROUND('Sum of Billing Determinants'!L126*'Rate Calculations'!$G$9*(1-'Sum of Billing Determinants'!$AC126), 0)</f>
        <v>2926</v>
      </c>
      <c r="L118" s="31">
        <f>ROUND('Sum of Billing Determinants'!M126*'Rate Calculations'!$G$9*(1-'Sum of Billing Determinants'!$AC126), 0)</f>
        <v>2849</v>
      </c>
      <c r="M118" s="31">
        <f>ROUND('Sum of Billing Determinants'!N126*'Rate Calculations'!$G$9*(1-'Sum of Billing Determinants'!$AC126), 0)</f>
        <v>2558</v>
      </c>
      <c r="N118" s="31">
        <f t="shared" si="1"/>
        <v>28030</v>
      </c>
    </row>
    <row r="119" spans="2:14" x14ac:dyDescent="0.3">
      <c r="B119" s="27">
        <f>'Sum of Billing Determinants'!A127</f>
        <v>10388</v>
      </c>
      <c r="C119" s="27" t="str">
        <f>'Sum of Billing Determinants'!B127</f>
        <v>Umatilla Elec Coop</v>
      </c>
      <c r="D119" s="31">
        <f>ROUND('Sum of Billing Determinants'!E127*'Rate Calculations'!$G$9*(1-'Sum of Billing Determinants'!$AC127), 0)</f>
        <v>67896</v>
      </c>
      <c r="E119" s="31">
        <f>ROUND('Sum of Billing Determinants'!F127*'Rate Calculations'!$G$9*(1-'Sum of Billing Determinants'!$AC127), 0)</f>
        <v>56596</v>
      </c>
      <c r="F119" s="31">
        <f>ROUND('Sum of Billing Determinants'!G127*'Rate Calculations'!$G$9*(1-'Sum of Billing Determinants'!$AC127), 0)</f>
        <v>51270</v>
      </c>
      <c r="G119" s="31">
        <f>ROUND('Sum of Billing Determinants'!H127*'Rate Calculations'!$G$9*(1-'Sum of Billing Determinants'!$AC127), 0)</f>
        <v>57028</v>
      </c>
      <c r="H119" s="31">
        <f>ROUND('Sum of Billing Determinants'!I127*'Rate Calculations'!$G$9*(1-'Sum of Billing Determinants'!$AC127), 0)</f>
        <v>46432</v>
      </c>
      <c r="I119" s="31">
        <f>ROUND('Sum of Billing Determinants'!J127*'Rate Calculations'!$G$9*(1-'Sum of Billing Determinants'!$AC127), 0)</f>
        <v>62621</v>
      </c>
      <c r="J119" s="31">
        <f>ROUND('Sum of Billing Determinants'!K127*'Rate Calculations'!$G$9*(1-'Sum of Billing Determinants'!$AC127), 0)</f>
        <v>79900</v>
      </c>
      <c r="K119" s="31">
        <f>ROUND('Sum of Billing Determinants'!L127*'Rate Calculations'!$G$9*(1-'Sum of Billing Determinants'!$AC127), 0)</f>
        <v>62644</v>
      </c>
      <c r="L119" s="31">
        <f>ROUND('Sum of Billing Determinants'!M127*'Rate Calculations'!$G$9*(1-'Sum of Billing Determinants'!$AC127), 0)</f>
        <v>61003</v>
      </c>
      <c r="M119" s="31">
        <f>ROUND('Sum of Billing Determinants'!N127*'Rate Calculations'!$G$9*(1-'Sum of Billing Determinants'!$AC127), 0)</f>
        <v>54768</v>
      </c>
      <c r="N119" s="31">
        <f t="shared" si="1"/>
        <v>600158</v>
      </c>
    </row>
    <row r="120" spans="2:14" x14ac:dyDescent="0.3">
      <c r="B120" s="27">
        <f>'Sum of Billing Determinants'!A128</f>
        <v>10391</v>
      </c>
      <c r="C120" s="27" t="str">
        <f>'Sum of Billing Determinants'!B128</f>
        <v>United Electric Coop</v>
      </c>
      <c r="D120" s="31">
        <f>ROUND('Sum of Billing Determinants'!E128*'Rate Calculations'!$G$9*(1-'Sum of Billing Determinants'!$AC128), 0)</f>
        <v>19206</v>
      </c>
      <c r="E120" s="31">
        <f>ROUND('Sum of Billing Determinants'!F128*'Rate Calculations'!$G$9*(1-'Sum of Billing Determinants'!$AC128), 0)</f>
        <v>16009</v>
      </c>
      <c r="F120" s="31">
        <f>ROUND('Sum of Billing Determinants'!G128*'Rate Calculations'!$G$9*(1-'Sum of Billing Determinants'!$AC128), 0)</f>
        <v>14503</v>
      </c>
      <c r="G120" s="31">
        <f>ROUND('Sum of Billing Determinants'!H128*'Rate Calculations'!$G$9*(1-'Sum of Billing Determinants'!$AC128), 0)</f>
        <v>16132</v>
      </c>
      <c r="H120" s="31">
        <f>ROUND('Sum of Billing Determinants'!I128*'Rate Calculations'!$G$9*(1-'Sum of Billing Determinants'!$AC128), 0)</f>
        <v>13135</v>
      </c>
      <c r="I120" s="31">
        <f>ROUND('Sum of Billing Determinants'!J128*'Rate Calculations'!$G$9*(1-'Sum of Billing Determinants'!$AC128), 0)</f>
        <v>17714</v>
      </c>
      <c r="J120" s="31">
        <f>ROUND('Sum of Billing Determinants'!K128*'Rate Calculations'!$G$9*(1-'Sum of Billing Determinants'!$AC128), 0)</f>
        <v>22602</v>
      </c>
      <c r="K120" s="31">
        <f>ROUND('Sum of Billing Determinants'!L128*'Rate Calculations'!$G$9*(1-'Sum of Billing Determinants'!$AC128), 0)</f>
        <v>17720</v>
      </c>
      <c r="L120" s="31">
        <f>ROUND('Sum of Billing Determinants'!M128*'Rate Calculations'!$G$9*(1-'Sum of Billing Determinants'!$AC128), 0)</f>
        <v>17256</v>
      </c>
      <c r="M120" s="31">
        <f>ROUND('Sum of Billing Determinants'!N128*'Rate Calculations'!$G$9*(1-'Sum of Billing Determinants'!$AC128), 0)</f>
        <v>15492</v>
      </c>
      <c r="N120" s="31">
        <f t="shared" si="1"/>
        <v>169769</v>
      </c>
    </row>
    <row r="121" spans="2:14" x14ac:dyDescent="0.3">
      <c r="B121" s="27">
        <f>'Sum of Billing Determinants'!A129</f>
        <v>10406</v>
      </c>
      <c r="C121" s="27" t="str">
        <f>'Sum of Billing Determinants'!B129</f>
        <v>U.S. DOE Albany Research Center</v>
      </c>
      <c r="D121" s="31">
        <f>ROUND('Sum of Billing Determinants'!E129*'Rate Calculations'!$G$9*(1-'Sum of Billing Determinants'!$AC129), 0)</f>
        <v>305</v>
      </c>
      <c r="E121" s="31">
        <f>ROUND('Sum of Billing Determinants'!F129*'Rate Calculations'!$G$9*(1-'Sum of Billing Determinants'!$AC129), 0)</f>
        <v>254</v>
      </c>
      <c r="F121" s="31">
        <f>ROUND('Sum of Billing Determinants'!G129*'Rate Calculations'!$G$9*(1-'Sum of Billing Determinants'!$AC129), 0)</f>
        <v>230</v>
      </c>
      <c r="G121" s="31">
        <f>ROUND('Sum of Billing Determinants'!H129*'Rate Calculations'!$G$9*(1-'Sum of Billing Determinants'!$AC129), 0)</f>
        <v>256</v>
      </c>
      <c r="H121" s="31">
        <f>ROUND('Sum of Billing Determinants'!I129*'Rate Calculations'!$G$9*(1-'Sum of Billing Determinants'!$AC129), 0)</f>
        <v>208</v>
      </c>
      <c r="I121" s="31">
        <f>ROUND('Sum of Billing Determinants'!J129*'Rate Calculations'!$G$9*(1-'Sum of Billing Determinants'!$AC129), 0)</f>
        <v>281</v>
      </c>
      <c r="J121" s="31">
        <f>ROUND('Sum of Billing Determinants'!K129*'Rate Calculations'!$G$9*(1-'Sum of Billing Determinants'!$AC129), 0)</f>
        <v>358</v>
      </c>
      <c r="K121" s="31">
        <f>ROUND('Sum of Billing Determinants'!L129*'Rate Calculations'!$G$9*(1-'Sum of Billing Determinants'!$AC129), 0)</f>
        <v>281</v>
      </c>
      <c r="L121" s="31">
        <f>ROUND('Sum of Billing Determinants'!M129*'Rate Calculations'!$G$9*(1-'Sum of Billing Determinants'!$AC129), 0)</f>
        <v>274</v>
      </c>
      <c r="M121" s="31">
        <f>ROUND('Sum of Billing Determinants'!N129*'Rate Calculations'!$G$9*(1-'Sum of Billing Determinants'!$AC129), 0)</f>
        <v>246</v>
      </c>
      <c r="N121" s="31">
        <f t="shared" si="1"/>
        <v>2693</v>
      </c>
    </row>
    <row r="122" spans="2:14" x14ac:dyDescent="0.3">
      <c r="B122" s="27">
        <f>'Sum of Billing Determinants'!A130</f>
        <v>10408</v>
      </c>
      <c r="C122" s="27" t="str">
        <f>'Sum of Billing Determinants'!B130</f>
        <v>U.S. Naval Station, Everett (Jim Creek)</v>
      </c>
      <c r="D122" s="31">
        <f>ROUND('Sum of Billing Determinants'!E130*'Rate Calculations'!$G$9*(1-'Sum of Billing Determinants'!$AC130), 0)</f>
        <v>993</v>
      </c>
      <c r="E122" s="31">
        <f>ROUND('Sum of Billing Determinants'!F130*'Rate Calculations'!$G$9*(1-'Sum of Billing Determinants'!$AC130), 0)</f>
        <v>827</v>
      </c>
      <c r="F122" s="31">
        <f>ROUND('Sum of Billing Determinants'!G130*'Rate Calculations'!$G$9*(1-'Sum of Billing Determinants'!$AC130), 0)</f>
        <v>750</v>
      </c>
      <c r="G122" s="31">
        <f>ROUND('Sum of Billing Determinants'!H130*'Rate Calculations'!$G$9*(1-'Sum of Billing Determinants'!$AC130), 0)</f>
        <v>834</v>
      </c>
      <c r="H122" s="31">
        <f>ROUND('Sum of Billing Determinants'!I130*'Rate Calculations'!$G$9*(1-'Sum of Billing Determinants'!$AC130), 0)</f>
        <v>679</v>
      </c>
      <c r="I122" s="31">
        <f>ROUND('Sum of Billing Determinants'!J130*'Rate Calculations'!$G$9*(1-'Sum of Billing Determinants'!$AC130), 0)</f>
        <v>916</v>
      </c>
      <c r="J122" s="31">
        <f>ROUND('Sum of Billing Determinants'!K130*'Rate Calculations'!$G$9*(1-'Sum of Billing Determinants'!$AC130), 0)</f>
        <v>1168</v>
      </c>
      <c r="K122" s="31">
        <f>ROUND('Sum of Billing Determinants'!L130*'Rate Calculations'!$G$9*(1-'Sum of Billing Determinants'!$AC130), 0)</f>
        <v>916</v>
      </c>
      <c r="L122" s="31">
        <f>ROUND('Sum of Billing Determinants'!M130*'Rate Calculations'!$G$9*(1-'Sum of Billing Determinants'!$AC130), 0)</f>
        <v>892</v>
      </c>
      <c r="M122" s="31">
        <f>ROUND('Sum of Billing Determinants'!N130*'Rate Calculations'!$G$9*(1-'Sum of Billing Determinants'!$AC130), 0)</f>
        <v>801</v>
      </c>
      <c r="N122" s="31">
        <f t="shared" si="1"/>
        <v>8776</v>
      </c>
    </row>
    <row r="123" spans="2:14" x14ac:dyDescent="0.3">
      <c r="B123" s="27">
        <f>'Sum of Billing Determinants'!A131</f>
        <v>10409</v>
      </c>
      <c r="C123" s="27" t="str">
        <f>'Sum of Billing Determinants'!B131</f>
        <v>U.S. Naval Submarine Base, Bangor</v>
      </c>
      <c r="D123" s="31">
        <f>ROUND('Sum of Billing Determinants'!E131*'Rate Calculations'!$G$9*(1-'Sum of Billing Determinants'!$AC131), 0)</f>
        <v>13038</v>
      </c>
      <c r="E123" s="31">
        <f>ROUND('Sum of Billing Determinants'!F131*'Rate Calculations'!$G$9*(1-'Sum of Billing Determinants'!$AC131), 0)</f>
        <v>10868</v>
      </c>
      <c r="F123" s="31">
        <f>ROUND('Sum of Billing Determinants'!G131*'Rate Calculations'!$G$9*(1-'Sum of Billing Determinants'!$AC131), 0)</f>
        <v>9845</v>
      </c>
      <c r="G123" s="31">
        <f>ROUND('Sum of Billing Determinants'!H131*'Rate Calculations'!$G$9*(1-'Sum of Billing Determinants'!$AC131), 0)</f>
        <v>10951</v>
      </c>
      <c r="H123" s="31">
        <f>ROUND('Sum of Billing Determinants'!I131*'Rate Calculations'!$G$9*(1-'Sum of Billing Determinants'!$AC131), 0)</f>
        <v>8916</v>
      </c>
      <c r="I123" s="31">
        <f>ROUND('Sum of Billing Determinants'!J131*'Rate Calculations'!$G$9*(1-'Sum of Billing Determinants'!$AC131), 0)</f>
        <v>12025</v>
      </c>
      <c r="J123" s="31">
        <f>ROUND('Sum of Billing Determinants'!K131*'Rate Calculations'!$G$9*(1-'Sum of Billing Determinants'!$AC131), 0)</f>
        <v>15343</v>
      </c>
      <c r="K123" s="31">
        <f>ROUND('Sum of Billing Determinants'!L131*'Rate Calculations'!$G$9*(1-'Sum of Billing Determinants'!$AC131), 0)</f>
        <v>12029</v>
      </c>
      <c r="L123" s="31">
        <f>ROUND('Sum of Billing Determinants'!M131*'Rate Calculations'!$G$9*(1-'Sum of Billing Determinants'!$AC131), 0)</f>
        <v>11714</v>
      </c>
      <c r="M123" s="31">
        <f>ROUND('Sum of Billing Determinants'!N131*'Rate Calculations'!$G$9*(1-'Sum of Billing Determinants'!$AC131), 0)</f>
        <v>10517</v>
      </c>
      <c r="N123" s="31">
        <f t="shared" si="1"/>
        <v>115246</v>
      </c>
    </row>
    <row r="124" spans="2:14" x14ac:dyDescent="0.3">
      <c r="B124" s="27">
        <f>'Sum of Billing Determinants'!A132</f>
        <v>10426</v>
      </c>
      <c r="C124" s="27" t="str">
        <f>'Sum of Billing Determinants'!B132</f>
        <v>U.S. DOE Richland Operations Office</v>
      </c>
      <c r="D124" s="31">
        <f>ROUND('Sum of Billing Determinants'!E132*'Rate Calculations'!$G$9*(1-'Sum of Billing Determinants'!$AC132), 0)</f>
        <v>20433</v>
      </c>
      <c r="E124" s="31">
        <f>ROUND('Sum of Billing Determinants'!F132*'Rate Calculations'!$G$9*(1-'Sum of Billing Determinants'!$AC132), 0)</f>
        <v>17032</v>
      </c>
      <c r="F124" s="31">
        <f>ROUND('Sum of Billing Determinants'!G132*'Rate Calculations'!$G$9*(1-'Sum of Billing Determinants'!$AC132), 0)</f>
        <v>15429</v>
      </c>
      <c r="G124" s="31">
        <f>ROUND('Sum of Billing Determinants'!H132*'Rate Calculations'!$G$9*(1-'Sum of Billing Determinants'!$AC132), 0)</f>
        <v>17162</v>
      </c>
      <c r="H124" s="31">
        <f>ROUND('Sum of Billing Determinants'!I132*'Rate Calculations'!$G$9*(1-'Sum of Billing Determinants'!$AC132), 0)</f>
        <v>13973</v>
      </c>
      <c r="I124" s="31">
        <f>ROUND('Sum of Billing Determinants'!J132*'Rate Calculations'!$G$9*(1-'Sum of Billing Determinants'!$AC132), 0)</f>
        <v>18845</v>
      </c>
      <c r="J124" s="31">
        <f>ROUND('Sum of Billing Determinants'!K132*'Rate Calculations'!$G$9*(1-'Sum of Billing Determinants'!$AC132), 0)</f>
        <v>24045</v>
      </c>
      <c r="K124" s="31">
        <f>ROUND('Sum of Billing Determinants'!L132*'Rate Calculations'!$G$9*(1-'Sum of Billing Determinants'!$AC132), 0)</f>
        <v>18852</v>
      </c>
      <c r="L124" s="31">
        <f>ROUND('Sum of Billing Determinants'!M132*'Rate Calculations'!$G$9*(1-'Sum of Billing Determinants'!$AC132), 0)</f>
        <v>18358</v>
      </c>
      <c r="M124" s="31">
        <f>ROUND('Sum of Billing Determinants'!N132*'Rate Calculations'!$G$9*(1-'Sum of Billing Determinants'!$AC132), 0)</f>
        <v>16482</v>
      </c>
      <c r="N124" s="31">
        <f t="shared" si="1"/>
        <v>180611</v>
      </c>
    </row>
    <row r="125" spans="2:14" x14ac:dyDescent="0.3">
      <c r="B125" s="27">
        <f>'Sum of Billing Determinants'!A133</f>
        <v>10434</v>
      </c>
      <c r="C125" s="27" t="str">
        <f>'Sum of Billing Determinants'!B133</f>
        <v>Vera Irrigation District</v>
      </c>
      <c r="D125" s="31">
        <f>ROUND('Sum of Billing Determinants'!E133*'Rate Calculations'!$G$9*(1-'Sum of Billing Determinants'!$AC133), 0)</f>
        <v>18049</v>
      </c>
      <c r="E125" s="31">
        <f>ROUND('Sum of Billing Determinants'!F133*'Rate Calculations'!$G$9*(1-'Sum of Billing Determinants'!$AC133), 0)</f>
        <v>15045</v>
      </c>
      <c r="F125" s="31">
        <f>ROUND('Sum of Billing Determinants'!G133*'Rate Calculations'!$G$9*(1-'Sum of Billing Determinants'!$AC133), 0)</f>
        <v>13629</v>
      </c>
      <c r="G125" s="31">
        <f>ROUND('Sum of Billing Determinants'!H133*'Rate Calculations'!$G$9*(1-'Sum of Billing Determinants'!$AC133), 0)</f>
        <v>15160</v>
      </c>
      <c r="H125" s="31">
        <f>ROUND('Sum of Billing Determinants'!I133*'Rate Calculations'!$G$9*(1-'Sum of Billing Determinants'!$AC133), 0)</f>
        <v>12343</v>
      </c>
      <c r="I125" s="31">
        <f>ROUND('Sum of Billing Determinants'!J133*'Rate Calculations'!$G$9*(1-'Sum of Billing Determinants'!$AC133), 0)</f>
        <v>16647</v>
      </c>
      <c r="J125" s="31">
        <f>ROUND('Sum of Billing Determinants'!K133*'Rate Calculations'!$G$9*(1-'Sum of Billing Determinants'!$AC133), 0)</f>
        <v>21240</v>
      </c>
      <c r="K125" s="31">
        <f>ROUND('Sum of Billing Determinants'!L133*'Rate Calculations'!$G$9*(1-'Sum of Billing Determinants'!$AC133), 0)</f>
        <v>16653</v>
      </c>
      <c r="L125" s="31">
        <f>ROUND('Sum of Billing Determinants'!M133*'Rate Calculations'!$G$9*(1-'Sum of Billing Determinants'!$AC133), 0)</f>
        <v>16217</v>
      </c>
      <c r="M125" s="31">
        <f>ROUND('Sum of Billing Determinants'!N133*'Rate Calculations'!$G$9*(1-'Sum of Billing Determinants'!$AC133), 0)</f>
        <v>14559</v>
      </c>
      <c r="N125" s="31">
        <f t="shared" si="1"/>
        <v>159542</v>
      </c>
    </row>
    <row r="126" spans="2:14" x14ac:dyDescent="0.3">
      <c r="B126" s="27">
        <f>'Sum of Billing Determinants'!A134</f>
        <v>10436</v>
      </c>
      <c r="C126" s="27" t="str">
        <f>'Sum of Billing Determinants'!B134</f>
        <v>Vigilante Elec Coop</v>
      </c>
      <c r="D126" s="31">
        <f>ROUND('Sum of Billing Determinants'!E134*'Rate Calculations'!$G$9*(1-'Sum of Billing Determinants'!$AC134), 0)</f>
        <v>11743</v>
      </c>
      <c r="E126" s="31">
        <f>ROUND('Sum of Billing Determinants'!F134*'Rate Calculations'!$G$9*(1-'Sum of Billing Determinants'!$AC134), 0)</f>
        <v>9789</v>
      </c>
      <c r="F126" s="31">
        <f>ROUND('Sum of Billing Determinants'!G134*'Rate Calculations'!$G$9*(1-'Sum of Billing Determinants'!$AC134), 0)</f>
        <v>8867</v>
      </c>
      <c r="G126" s="31">
        <f>ROUND('Sum of Billing Determinants'!H134*'Rate Calculations'!$G$9*(1-'Sum of Billing Determinants'!$AC134), 0)</f>
        <v>9863</v>
      </c>
      <c r="H126" s="31">
        <f>ROUND('Sum of Billing Determinants'!I134*'Rate Calculations'!$G$9*(1-'Sum of Billing Determinants'!$AC134), 0)</f>
        <v>8031</v>
      </c>
      <c r="I126" s="31">
        <f>ROUND('Sum of Billing Determinants'!J134*'Rate Calculations'!$G$9*(1-'Sum of Billing Determinants'!$AC134), 0)</f>
        <v>10831</v>
      </c>
      <c r="J126" s="31">
        <f>ROUND('Sum of Billing Determinants'!K134*'Rate Calculations'!$G$9*(1-'Sum of Billing Determinants'!$AC134), 0)</f>
        <v>13819</v>
      </c>
      <c r="K126" s="31">
        <f>ROUND('Sum of Billing Determinants'!L134*'Rate Calculations'!$G$9*(1-'Sum of Billing Determinants'!$AC134), 0)</f>
        <v>10835</v>
      </c>
      <c r="L126" s="31">
        <f>ROUND('Sum of Billing Determinants'!M134*'Rate Calculations'!$G$9*(1-'Sum of Billing Determinants'!$AC134), 0)</f>
        <v>10551</v>
      </c>
      <c r="M126" s="31">
        <f>ROUND('Sum of Billing Determinants'!N134*'Rate Calculations'!$G$9*(1-'Sum of Billing Determinants'!$AC134), 0)</f>
        <v>9472</v>
      </c>
      <c r="N126" s="31">
        <f t="shared" si="1"/>
        <v>103801</v>
      </c>
    </row>
    <row r="127" spans="2:14" x14ac:dyDescent="0.3">
      <c r="B127" s="27">
        <f>'Sum of Billing Determinants'!A135</f>
        <v>10440</v>
      </c>
      <c r="C127" s="27" t="str">
        <f>'Sum of Billing Determinants'!B135</f>
        <v>Wahkiakum County PUD #1</v>
      </c>
      <c r="D127" s="31">
        <f>ROUND('Sum of Billing Determinants'!E135*'Rate Calculations'!$G$9*(1-'Sum of Billing Determinants'!$AC135), 0)</f>
        <v>3110</v>
      </c>
      <c r="E127" s="31">
        <f>ROUND('Sum of Billing Determinants'!F135*'Rate Calculations'!$G$9*(1-'Sum of Billing Determinants'!$AC135), 0)</f>
        <v>2592</v>
      </c>
      <c r="F127" s="31">
        <f>ROUND('Sum of Billing Determinants'!G135*'Rate Calculations'!$G$9*(1-'Sum of Billing Determinants'!$AC135), 0)</f>
        <v>2348</v>
      </c>
      <c r="G127" s="31">
        <f>ROUND('Sum of Billing Determinants'!H135*'Rate Calculations'!$G$9*(1-'Sum of Billing Determinants'!$AC135), 0)</f>
        <v>2612</v>
      </c>
      <c r="H127" s="31">
        <f>ROUND('Sum of Billing Determinants'!I135*'Rate Calculations'!$G$9*(1-'Sum of Billing Determinants'!$AC135), 0)</f>
        <v>2127</v>
      </c>
      <c r="I127" s="31">
        <f>ROUND('Sum of Billing Determinants'!J135*'Rate Calculations'!$G$9*(1-'Sum of Billing Determinants'!$AC135), 0)</f>
        <v>2868</v>
      </c>
      <c r="J127" s="31">
        <f>ROUND('Sum of Billing Determinants'!K135*'Rate Calculations'!$G$9*(1-'Sum of Billing Determinants'!$AC135), 0)</f>
        <v>3660</v>
      </c>
      <c r="K127" s="31">
        <f>ROUND('Sum of Billing Determinants'!L135*'Rate Calculations'!$G$9*(1-'Sum of Billing Determinants'!$AC135), 0)</f>
        <v>2869</v>
      </c>
      <c r="L127" s="31">
        <f>ROUND('Sum of Billing Determinants'!M135*'Rate Calculations'!$G$9*(1-'Sum of Billing Determinants'!$AC135), 0)</f>
        <v>2794</v>
      </c>
      <c r="M127" s="31">
        <f>ROUND('Sum of Billing Determinants'!N135*'Rate Calculations'!$G$9*(1-'Sum of Billing Determinants'!$AC135), 0)</f>
        <v>2508</v>
      </c>
      <c r="N127" s="31">
        <f t="shared" si="1"/>
        <v>27488</v>
      </c>
    </row>
    <row r="128" spans="2:14" x14ac:dyDescent="0.3">
      <c r="B128" s="27">
        <f>'Sum of Billing Determinants'!A136</f>
        <v>10442</v>
      </c>
      <c r="C128" s="27" t="str">
        <f>'Sum of Billing Determinants'!B136</f>
        <v>Wasco Elec Coop</v>
      </c>
      <c r="D128" s="31">
        <f>ROUND('Sum of Billing Determinants'!E136*'Rate Calculations'!$G$9*(1-'Sum of Billing Determinants'!$AC136), 0)</f>
        <v>7812</v>
      </c>
      <c r="E128" s="31">
        <f>ROUND('Sum of Billing Determinants'!F136*'Rate Calculations'!$G$9*(1-'Sum of Billing Determinants'!$AC136), 0)</f>
        <v>6512</v>
      </c>
      <c r="F128" s="31">
        <f>ROUND('Sum of Billing Determinants'!G136*'Rate Calculations'!$G$9*(1-'Sum of Billing Determinants'!$AC136), 0)</f>
        <v>5899</v>
      </c>
      <c r="G128" s="31">
        <f>ROUND('Sum of Billing Determinants'!H136*'Rate Calculations'!$G$9*(1-'Sum of Billing Determinants'!$AC136), 0)</f>
        <v>6562</v>
      </c>
      <c r="H128" s="31">
        <f>ROUND('Sum of Billing Determinants'!I136*'Rate Calculations'!$G$9*(1-'Sum of Billing Determinants'!$AC136), 0)</f>
        <v>5343</v>
      </c>
      <c r="I128" s="31">
        <f>ROUND('Sum of Billing Determinants'!J136*'Rate Calculations'!$G$9*(1-'Sum of Billing Determinants'!$AC136), 0)</f>
        <v>7205</v>
      </c>
      <c r="J128" s="31">
        <f>ROUND('Sum of Billing Determinants'!K136*'Rate Calculations'!$G$9*(1-'Sum of Billing Determinants'!$AC136), 0)</f>
        <v>9193</v>
      </c>
      <c r="K128" s="31">
        <f>ROUND('Sum of Billing Determinants'!L136*'Rate Calculations'!$G$9*(1-'Sum of Billing Determinants'!$AC136), 0)</f>
        <v>7208</v>
      </c>
      <c r="L128" s="31">
        <f>ROUND('Sum of Billing Determinants'!M136*'Rate Calculations'!$G$9*(1-'Sum of Billing Determinants'!$AC136), 0)</f>
        <v>7019</v>
      </c>
      <c r="M128" s="31">
        <f>ROUND('Sum of Billing Determinants'!N136*'Rate Calculations'!$G$9*(1-'Sum of Billing Determinants'!$AC136), 0)</f>
        <v>6302</v>
      </c>
      <c r="N128" s="31">
        <f t="shared" si="1"/>
        <v>69055</v>
      </c>
    </row>
    <row r="129" spans="2:14" x14ac:dyDescent="0.3">
      <c r="B129" s="27">
        <f>'Sum of Billing Determinants'!A137</f>
        <v>10446</v>
      </c>
      <c r="C129" s="27" t="str">
        <f>'Sum of Billing Determinants'!B137</f>
        <v>Wells Rural Elec Coop</v>
      </c>
      <c r="D129" s="31">
        <f>ROUND('Sum of Billing Determinants'!E137*'Rate Calculations'!$G$9*(1-'Sum of Billing Determinants'!$AC137), 0)</f>
        <v>58153</v>
      </c>
      <c r="E129" s="31">
        <f>ROUND('Sum of Billing Determinants'!F137*'Rate Calculations'!$G$9*(1-'Sum of Billing Determinants'!$AC137), 0)</f>
        <v>48474</v>
      </c>
      <c r="F129" s="31">
        <f>ROUND('Sum of Billing Determinants'!G137*'Rate Calculations'!$G$9*(1-'Sum of Billing Determinants'!$AC137), 0)</f>
        <v>43913</v>
      </c>
      <c r="G129" s="31">
        <f>ROUND('Sum of Billing Determinants'!H137*'Rate Calculations'!$G$9*(1-'Sum of Billing Determinants'!$AC137), 0)</f>
        <v>48845</v>
      </c>
      <c r="H129" s="31">
        <f>ROUND('Sum of Billing Determinants'!I137*'Rate Calculations'!$G$9*(1-'Sum of Billing Determinants'!$AC137), 0)</f>
        <v>39770</v>
      </c>
      <c r="I129" s="31">
        <f>ROUND('Sum of Billing Determinants'!J137*'Rate Calculations'!$G$9*(1-'Sum of Billing Determinants'!$AC137), 0)</f>
        <v>53635</v>
      </c>
      <c r="J129" s="31">
        <f>ROUND('Sum of Billing Determinants'!K137*'Rate Calculations'!$G$9*(1-'Sum of Billing Determinants'!$AC137), 0)</f>
        <v>68435</v>
      </c>
      <c r="K129" s="31">
        <f>ROUND('Sum of Billing Determinants'!L137*'Rate Calculations'!$G$9*(1-'Sum of Billing Determinants'!$AC137), 0)</f>
        <v>53655</v>
      </c>
      <c r="L129" s="31">
        <f>ROUND('Sum of Billing Determinants'!M137*'Rate Calculations'!$G$9*(1-'Sum of Billing Determinants'!$AC137), 0)</f>
        <v>52249</v>
      </c>
      <c r="M129" s="31">
        <f>ROUND('Sum of Billing Determinants'!N137*'Rate Calculations'!$G$9*(1-'Sum of Billing Determinants'!$AC137), 0)</f>
        <v>46909</v>
      </c>
      <c r="N129" s="31">
        <f t="shared" si="1"/>
        <v>514038</v>
      </c>
    </row>
    <row r="130" spans="2:14" x14ac:dyDescent="0.3">
      <c r="B130" s="27">
        <f>'Sum of Billing Determinants'!A138</f>
        <v>10448</v>
      </c>
      <c r="C130" s="27" t="str">
        <f>'Sum of Billing Determinants'!B138</f>
        <v>West Oregon Elec Coop</v>
      </c>
      <c r="D130" s="31">
        <f>ROUND('Sum of Billing Determinants'!E138*'Rate Calculations'!$G$9*(1-'Sum of Billing Determinants'!$AC138), 0)</f>
        <v>5056</v>
      </c>
      <c r="E130" s="31">
        <f>ROUND('Sum of Billing Determinants'!F138*'Rate Calculations'!$G$9*(1-'Sum of Billing Determinants'!$AC138), 0)</f>
        <v>4214</v>
      </c>
      <c r="F130" s="31">
        <f>ROUND('Sum of Billing Determinants'!G138*'Rate Calculations'!$G$9*(1-'Sum of Billing Determinants'!$AC138), 0)</f>
        <v>3818</v>
      </c>
      <c r="G130" s="31">
        <f>ROUND('Sum of Billing Determinants'!H138*'Rate Calculations'!$G$9*(1-'Sum of Billing Determinants'!$AC138), 0)</f>
        <v>4246</v>
      </c>
      <c r="H130" s="31">
        <f>ROUND('Sum of Billing Determinants'!I138*'Rate Calculations'!$G$9*(1-'Sum of Billing Determinants'!$AC138), 0)</f>
        <v>3457</v>
      </c>
      <c r="I130" s="31">
        <f>ROUND('Sum of Billing Determinants'!J138*'Rate Calculations'!$G$9*(1-'Sum of Billing Determinants'!$AC138), 0)</f>
        <v>4663</v>
      </c>
      <c r="J130" s="31">
        <f>ROUND('Sum of Billing Determinants'!K138*'Rate Calculations'!$G$9*(1-'Sum of Billing Determinants'!$AC138), 0)</f>
        <v>5949</v>
      </c>
      <c r="K130" s="31">
        <f>ROUND('Sum of Billing Determinants'!L138*'Rate Calculations'!$G$9*(1-'Sum of Billing Determinants'!$AC138), 0)</f>
        <v>4665</v>
      </c>
      <c r="L130" s="31">
        <f>ROUND('Sum of Billing Determinants'!M138*'Rate Calculations'!$G$9*(1-'Sum of Billing Determinants'!$AC138), 0)</f>
        <v>4542</v>
      </c>
      <c r="M130" s="31">
        <f>ROUND('Sum of Billing Determinants'!N138*'Rate Calculations'!$G$9*(1-'Sum of Billing Determinants'!$AC138), 0)</f>
        <v>4078</v>
      </c>
      <c r="N130" s="31">
        <f t="shared" si="1"/>
        <v>44688</v>
      </c>
    </row>
    <row r="131" spans="2:14" x14ac:dyDescent="0.3">
      <c r="B131" s="27">
        <f>'Sum of Billing Determinants'!A139</f>
        <v>10451</v>
      </c>
      <c r="C131" s="27" t="str">
        <f>'Sum of Billing Determinants'!B139</f>
        <v>Whatcom County PUD #1</v>
      </c>
      <c r="D131" s="31">
        <f>ROUND('Sum of Billing Determinants'!E139*'Rate Calculations'!$G$9*(1-'Sum of Billing Determinants'!$AC139), 0)</f>
        <v>17603</v>
      </c>
      <c r="E131" s="31">
        <f>ROUND('Sum of Billing Determinants'!F139*'Rate Calculations'!$G$9*(1-'Sum of Billing Determinants'!$AC139), 0)</f>
        <v>14673</v>
      </c>
      <c r="F131" s="31">
        <f>ROUND('Sum of Billing Determinants'!G139*'Rate Calculations'!$G$9*(1-'Sum of Billing Determinants'!$AC139), 0)</f>
        <v>13292</v>
      </c>
      <c r="G131" s="31">
        <f>ROUND('Sum of Billing Determinants'!H139*'Rate Calculations'!$G$9*(1-'Sum of Billing Determinants'!$AC139), 0)</f>
        <v>14785</v>
      </c>
      <c r="H131" s="31">
        <f>ROUND('Sum of Billing Determinants'!I139*'Rate Calculations'!$G$9*(1-'Sum of Billing Determinants'!$AC139), 0)</f>
        <v>12038</v>
      </c>
      <c r="I131" s="31">
        <f>ROUND('Sum of Billing Determinants'!J139*'Rate Calculations'!$G$9*(1-'Sum of Billing Determinants'!$AC139), 0)</f>
        <v>16235</v>
      </c>
      <c r="J131" s="31">
        <f>ROUND('Sum of Billing Determinants'!K139*'Rate Calculations'!$G$9*(1-'Sum of Billing Determinants'!$AC139), 0)</f>
        <v>20715</v>
      </c>
      <c r="K131" s="31">
        <f>ROUND('Sum of Billing Determinants'!L139*'Rate Calculations'!$G$9*(1-'Sum of Billing Determinants'!$AC139), 0)</f>
        <v>16241</v>
      </c>
      <c r="L131" s="31">
        <f>ROUND('Sum of Billing Determinants'!M139*'Rate Calculations'!$G$9*(1-'Sum of Billing Determinants'!$AC139), 0)</f>
        <v>15816</v>
      </c>
      <c r="M131" s="31">
        <f>ROUND('Sum of Billing Determinants'!N139*'Rate Calculations'!$G$9*(1-'Sum of Billing Determinants'!$AC139), 0)</f>
        <v>14199</v>
      </c>
      <c r="N131" s="31">
        <f t="shared" si="1"/>
        <v>155597</v>
      </c>
    </row>
    <row r="132" spans="2:14" x14ac:dyDescent="0.3">
      <c r="B132" s="27">
        <f>'Sum of Billing Determinants'!A140</f>
        <v>10482</v>
      </c>
      <c r="C132" s="27" t="str">
        <f>'Sum of Billing Determinants'!B140</f>
        <v>Umpqua Indian Utility Cooperative</v>
      </c>
      <c r="D132" s="31">
        <f>ROUND('Sum of Billing Determinants'!E140*'Rate Calculations'!$G$9*(1-'Sum of Billing Determinants'!$AC140), 0)</f>
        <v>1803</v>
      </c>
      <c r="E132" s="31">
        <f>ROUND('Sum of Billing Determinants'!F140*'Rate Calculations'!$G$9*(1-'Sum of Billing Determinants'!$AC140), 0)</f>
        <v>1503</v>
      </c>
      <c r="F132" s="31">
        <f>ROUND('Sum of Billing Determinants'!G140*'Rate Calculations'!$G$9*(1-'Sum of Billing Determinants'!$AC140), 0)</f>
        <v>1362</v>
      </c>
      <c r="G132" s="31">
        <f>ROUND('Sum of Billing Determinants'!H140*'Rate Calculations'!$G$9*(1-'Sum of Billing Determinants'!$AC140), 0)</f>
        <v>1515</v>
      </c>
      <c r="H132" s="31">
        <f>ROUND('Sum of Billing Determinants'!I140*'Rate Calculations'!$G$9*(1-'Sum of Billing Determinants'!$AC140), 0)</f>
        <v>1233</v>
      </c>
      <c r="I132" s="31">
        <f>ROUND('Sum of Billing Determinants'!J140*'Rate Calculations'!$G$9*(1-'Sum of Billing Determinants'!$AC140), 0)</f>
        <v>1663</v>
      </c>
      <c r="J132" s="31">
        <f>ROUND('Sum of Billing Determinants'!K140*'Rate Calculations'!$G$9*(1-'Sum of Billing Determinants'!$AC140), 0)</f>
        <v>2122</v>
      </c>
      <c r="K132" s="31">
        <f>ROUND('Sum of Billing Determinants'!L140*'Rate Calculations'!$G$9*(1-'Sum of Billing Determinants'!$AC140), 0)</f>
        <v>1664</v>
      </c>
      <c r="L132" s="31">
        <f>ROUND('Sum of Billing Determinants'!M140*'Rate Calculations'!$G$9*(1-'Sum of Billing Determinants'!$AC140), 0)</f>
        <v>1620</v>
      </c>
      <c r="M132" s="31">
        <f>ROUND('Sum of Billing Determinants'!N140*'Rate Calculations'!$G$9*(1-'Sum of Billing Determinants'!$AC140), 0)</f>
        <v>1455</v>
      </c>
      <c r="N132" s="31">
        <f t="shared" si="1"/>
        <v>15940</v>
      </c>
    </row>
    <row r="133" spans="2:14" x14ac:dyDescent="0.3">
      <c r="B133" s="27">
        <f>'Sum of Billing Determinants'!A141</f>
        <v>10502</v>
      </c>
      <c r="C133" s="27" t="str">
        <f>'Sum of Billing Determinants'!B141</f>
        <v>Yakama Power</v>
      </c>
      <c r="D133" s="31">
        <f>ROUND('Sum of Billing Determinants'!E141*'Rate Calculations'!$G$9*(1-'Sum of Billing Determinants'!$AC141), 0)</f>
        <v>11559</v>
      </c>
      <c r="E133" s="31">
        <f>ROUND('Sum of Billing Determinants'!F141*'Rate Calculations'!$G$9*(1-'Sum of Billing Determinants'!$AC141), 0)</f>
        <v>9635</v>
      </c>
      <c r="F133" s="31">
        <f>ROUND('Sum of Billing Determinants'!G141*'Rate Calculations'!$G$9*(1-'Sum of Billing Determinants'!$AC141), 0)</f>
        <v>8729</v>
      </c>
      <c r="G133" s="31">
        <f>ROUND('Sum of Billing Determinants'!H141*'Rate Calculations'!$G$9*(1-'Sum of Billing Determinants'!$AC141), 0)</f>
        <v>9709</v>
      </c>
      <c r="H133" s="31">
        <f>ROUND('Sum of Billing Determinants'!I141*'Rate Calculations'!$G$9*(1-'Sum of Billing Determinants'!$AC141), 0)</f>
        <v>7905</v>
      </c>
      <c r="I133" s="31">
        <f>ROUND('Sum of Billing Determinants'!J141*'Rate Calculations'!$G$9*(1-'Sum of Billing Determinants'!$AC141), 0)</f>
        <v>10661</v>
      </c>
      <c r="J133" s="31">
        <f>ROUND('Sum of Billing Determinants'!K141*'Rate Calculations'!$G$9*(1-'Sum of Billing Determinants'!$AC141), 0)</f>
        <v>13603</v>
      </c>
      <c r="K133" s="31">
        <f>ROUND('Sum of Billing Determinants'!L141*'Rate Calculations'!$G$9*(1-'Sum of Billing Determinants'!$AC141), 0)</f>
        <v>10665</v>
      </c>
      <c r="L133" s="31">
        <f>ROUND('Sum of Billing Determinants'!M141*'Rate Calculations'!$G$9*(1-'Sum of Billing Determinants'!$AC141), 0)</f>
        <v>10386</v>
      </c>
      <c r="M133" s="31">
        <f>ROUND('Sum of Billing Determinants'!N141*'Rate Calculations'!$G$9*(1-'Sum of Billing Determinants'!$AC141), 0)</f>
        <v>9324</v>
      </c>
      <c r="N133" s="31">
        <f t="shared" si="1"/>
        <v>102176</v>
      </c>
    </row>
    <row r="134" spans="2:14" x14ac:dyDescent="0.3">
      <c r="B134" s="27">
        <f>'Sum of Billing Determinants'!A142</f>
        <v>13927</v>
      </c>
      <c r="C134" s="27" t="str">
        <f>'Sum of Billing Determinants'!B142</f>
        <v>Kalispel Tribe Utility</v>
      </c>
      <c r="D134" s="31">
        <f>ROUND('Sum of Billing Determinants'!E142*'Rate Calculations'!$G$9*(1-'Sum of Billing Determinants'!$AC142), 0)</f>
        <v>2017</v>
      </c>
      <c r="E134" s="31">
        <f>ROUND('Sum of Billing Determinants'!F142*'Rate Calculations'!$G$9*(1-'Sum of Billing Determinants'!$AC142), 0)</f>
        <v>1682</v>
      </c>
      <c r="F134" s="31">
        <f>ROUND('Sum of Billing Determinants'!G142*'Rate Calculations'!$G$9*(1-'Sum of Billing Determinants'!$AC142), 0)</f>
        <v>1523</v>
      </c>
      <c r="G134" s="31">
        <f>ROUND('Sum of Billing Determinants'!H142*'Rate Calculations'!$G$9*(1-'Sum of Billing Determinants'!$AC142), 0)</f>
        <v>1694</v>
      </c>
      <c r="H134" s="31">
        <f>ROUND('Sum of Billing Determinants'!I142*'Rate Calculations'!$G$9*(1-'Sum of Billing Determinants'!$AC142), 0)</f>
        <v>1380</v>
      </c>
      <c r="I134" s="31">
        <f>ROUND('Sum of Billing Determinants'!J142*'Rate Calculations'!$G$9*(1-'Sum of Billing Determinants'!$AC142), 0)</f>
        <v>1861</v>
      </c>
      <c r="J134" s="31">
        <f>ROUND('Sum of Billing Determinants'!K142*'Rate Calculations'!$G$9*(1-'Sum of Billing Determinants'!$AC142), 0)</f>
        <v>2374</v>
      </c>
      <c r="K134" s="31">
        <f>ROUND('Sum of Billing Determinants'!L142*'Rate Calculations'!$G$9*(1-'Sum of Billing Determinants'!$AC142), 0)</f>
        <v>1861</v>
      </c>
      <c r="L134" s="31">
        <f>ROUND('Sum of Billing Determinants'!M142*'Rate Calculations'!$G$9*(1-'Sum of Billing Determinants'!$AC142), 0)</f>
        <v>1813</v>
      </c>
      <c r="M134" s="31">
        <f>ROUND('Sum of Billing Determinants'!N142*'Rate Calculations'!$G$9*(1-'Sum of Billing Determinants'!$AC142), 0)</f>
        <v>1627</v>
      </c>
      <c r="N134" s="31">
        <f t="shared" ref="N134:N138" si="2">SUM(D134:M134)</f>
        <v>17832</v>
      </c>
    </row>
    <row r="135" spans="2:14" x14ac:dyDescent="0.3">
      <c r="B135" s="27">
        <f>'Sum of Billing Determinants'!A143</f>
        <v>10597</v>
      </c>
      <c r="C135" s="27" t="str">
        <f>'Sum of Billing Determinants'!B143</f>
        <v>Hermiston, City of</v>
      </c>
      <c r="D135" s="31">
        <f>ROUND('Sum of Billing Determinants'!E143*'Rate Calculations'!$G$9*(1-'Sum of Billing Determinants'!$AC143), 0)</f>
        <v>8217</v>
      </c>
      <c r="E135" s="31">
        <f>ROUND('Sum of Billing Determinants'!F143*'Rate Calculations'!$G$9*(1-'Sum of Billing Determinants'!$AC143), 0)</f>
        <v>6849</v>
      </c>
      <c r="F135" s="31">
        <f>ROUND('Sum of Billing Determinants'!G143*'Rate Calculations'!$G$9*(1-'Sum of Billing Determinants'!$AC143), 0)</f>
        <v>6205</v>
      </c>
      <c r="G135" s="31">
        <f>ROUND('Sum of Billing Determinants'!H143*'Rate Calculations'!$G$9*(1-'Sum of Billing Determinants'!$AC143), 0)</f>
        <v>6902</v>
      </c>
      <c r="H135" s="31">
        <f>ROUND('Sum of Billing Determinants'!I143*'Rate Calculations'!$G$9*(1-'Sum of Billing Determinants'!$AC143), 0)</f>
        <v>5619</v>
      </c>
      <c r="I135" s="31">
        <f>ROUND('Sum of Billing Determinants'!J143*'Rate Calculations'!$G$9*(1-'Sum of Billing Determinants'!$AC143), 0)</f>
        <v>7579</v>
      </c>
      <c r="J135" s="31">
        <f>ROUND('Sum of Billing Determinants'!K143*'Rate Calculations'!$G$9*(1-'Sum of Billing Determinants'!$AC143), 0)</f>
        <v>9670</v>
      </c>
      <c r="K135" s="31">
        <f>ROUND('Sum of Billing Determinants'!L143*'Rate Calculations'!$G$9*(1-'Sum of Billing Determinants'!$AC143), 0)</f>
        <v>7582</v>
      </c>
      <c r="L135" s="31">
        <f>ROUND('Sum of Billing Determinants'!M143*'Rate Calculations'!$G$9*(1-'Sum of Billing Determinants'!$AC143), 0)</f>
        <v>7383</v>
      </c>
      <c r="M135" s="31">
        <f>ROUND('Sum of Billing Determinants'!N143*'Rate Calculations'!$G$9*(1-'Sum of Billing Determinants'!$AC143), 0)</f>
        <v>6628</v>
      </c>
      <c r="N135" s="31">
        <f t="shared" si="2"/>
        <v>72634</v>
      </c>
    </row>
    <row r="136" spans="2:14" x14ac:dyDescent="0.3">
      <c r="B136" s="27">
        <f>'Sum of Billing Determinants'!A144</f>
        <v>10706</v>
      </c>
      <c r="C136" s="27" t="str">
        <f>'Sum of Billing Determinants'!B144</f>
        <v>Port of Seattle - SETAC In'tl. Airport</v>
      </c>
      <c r="D136" s="31">
        <f>ROUND('Sum of Billing Determinants'!E144*'Rate Calculations'!$G$9*(1-'Sum of Billing Determinants'!$AC144), 0)</f>
        <v>11484</v>
      </c>
      <c r="E136" s="31">
        <f>ROUND('Sum of Billing Determinants'!F144*'Rate Calculations'!$G$9*(1-'Sum of Billing Determinants'!$AC144), 0)</f>
        <v>9573</v>
      </c>
      <c r="F136" s="31">
        <f>ROUND('Sum of Billing Determinants'!G144*'Rate Calculations'!$G$9*(1-'Sum of Billing Determinants'!$AC144), 0)</f>
        <v>8672</v>
      </c>
      <c r="G136" s="31">
        <f>ROUND('Sum of Billing Determinants'!H144*'Rate Calculations'!$G$9*(1-'Sum of Billing Determinants'!$AC144), 0)</f>
        <v>9646</v>
      </c>
      <c r="H136" s="31">
        <f>ROUND('Sum of Billing Determinants'!I144*'Rate Calculations'!$G$9*(1-'Sum of Billing Determinants'!$AC144), 0)</f>
        <v>7854</v>
      </c>
      <c r="I136" s="31">
        <f>ROUND('Sum of Billing Determinants'!J144*'Rate Calculations'!$G$9*(1-'Sum of Billing Determinants'!$AC144), 0)</f>
        <v>10592</v>
      </c>
      <c r="J136" s="31">
        <f>ROUND('Sum of Billing Determinants'!K144*'Rate Calculations'!$G$9*(1-'Sum of Billing Determinants'!$AC144), 0)</f>
        <v>13514</v>
      </c>
      <c r="K136" s="31">
        <f>ROUND('Sum of Billing Determinants'!L144*'Rate Calculations'!$G$9*(1-'Sum of Billing Determinants'!$AC144), 0)</f>
        <v>10596</v>
      </c>
      <c r="L136" s="31">
        <f>ROUND('Sum of Billing Determinants'!M144*'Rate Calculations'!$G$9*(1-'Sum of Billing Determinants'!$AC144), 0)</f>
        <v>10318</v>
      </c>
      <c r="M136" s="31">
        <f>ROUND('Sum of Billing Determinants'!N144*'Rate Calculations'!$G$9*(1-'Sum of Billing Determinants'!$AC144), 0)</f>
        <v>9263</v>
      </c>
      <c r="N136" s="31">
        <f t="shared" si="2"/>
        <v>101512</v>
      </c>
    </row>
    <row r="137" spans="2:14" x14ac:dyDescent="0.3">
      <c r="B137" s="27">
        <f>'Sum of Billing Determinants'!A145</f>
        <v>11680</v>
      </c>
      <c r="C137" s="27" t="str">
        <f>'Sum of Billing Determinants'!B145</f>
        <v>Weiser, City of</v>
      </c>
      <c r="D137" s="31">
        <f>ROUND('Sum of Billing Determinants'!E145*'Rate Calculations'!$G$9*(1-'Sum of Billing Determinants'!$AC145), 0)</f>
        <v>4206</v>
      </c>
      <c r="E137" s="31">
        <f>ROUND('Sum of Billing Determinants'!F145*'Rate Calculations'!$G$9*(1-'Sum of Billing Determinants'!$AC145), 0)</f>
        <v>3506</v>
      </c>
      <c r="F137" s="31">
        <f>ROUND('Sum of Billing Determinants'!G145*'Rate Calculations'!$G$9*(1-'Sum of Billing Determinants'!$AC145), 0)</f>
        <v>3176</v>
      </c>
      <c r="G137" s="31">
        <f>ROUND('Sum of Billing Determinants'!H145*'Rate Calculations'!$G$9*(1-'Sum of Billing Determinants'!$AC145), 0)</f>
        <v>3533</v>
      </c>
      <c r="H137" s="31">
        <f>ROUND('Sum of Billing Determinants'!I145*'Rate Calculations'!$G$9*(1-'Sum of Billing Determinants'!$AC145), 0)</f>
        <v>2876</v>
      </c>
      <c r="I137" s="31">
        <f>ROUND('Sum of Billing Determinants'!J145*'Rate Calculations'!$G$9*(1-'Sum of Billing Determinants'!$AC145), 0)</f>
        <v>3879</v>
      </c>
      <c r="J137" s="31">
        <f>ROUND('Sum of Billing Determinants'!K145*'Rate Calculations'!$G$9*(1-'Sum of Billing Determinants'!$AC145), 0)</f>
        <v>4950</v>
      </c>
      <c r="K137" s="31">
        <f>ROUND('Sum of Billing Determinants'!L145*'Rate Calculations'!$G$9*(1-'Sum of Billing Determinants'!$AC145), 0)</f>
        <v>3881</v>
      </c>
      <c r="L137" s="31">
        <f>ROUND('Sum of Billing Determinants'!M145*'Rate Calculations'!$G$9*(1-'Sum of Billing Determinants'!$AC145), 0)</f>
        <v>3779</v>
      </c>
      <c r="M137" s="31">
        <f>ROUND('Sum of Billing Determinants'!N145*'Rate Calculations'!$G$9*(1-'Sum of Billing Determinants'!$AC145), 0)</f>
        <v>3393</v>
      </c>
      <c r="N137" s="31">
        <f t="shared" si="2"/>
        <v>37179</v>
      </c>
    </row>
    <row r="138" spans="2:14" x14ac:dyDescent="0.3">
      <c r="B138" s="27">
        <f>'Sum of Billing Determinants'!A146</f>
        <v>12026</v>
      </c>
      <c r="C138" s="27" t="str">
        <f>'Sum of Billing Determinants'!B146</f>
        <v>Jefferson County PUD #1</v>
      </c>
      <c r="D138" s="31">
        <f>ROUND('Sum of Billing Determinants'!E146*'Rate Calculations'!$G$9*(1-'Sum of Billing Determinants'!$AC146), 0)</f>
        <v>29724</v>
      </c>
      <c r="E138" s="31">
        <f>ROUND('Sum of Billing Determinants'!F146*'Rate Calculations'!$G$9*(1-'Sum of Billing Determinants'!$AC146), 0)</f>
        <v>24777</v>
      </c>
      <c r="F138" s="31">
        <f>ROUND('Sum of Billing Determinants'!G146*'Rate Calculations'!$G$9*(1-'Sum of Billing Determinants'!$AC146), 0)</f>
        <v>22445</v>
      </c>
      <c r="G138" s="31">
        <f>ROUND('Sum of Billing Determinants'!H146*'Rate Calculations'!$G$9*(1-'Sum of Billing Determinants'!$AC146), 0)</f>
        <v>24966</v>
      </c>
      <c r="H138" s="31">
        <f>ROUND('Sum of Billing Determinants'!I146*'Rate Calculations'!$G$9*(1-'Sum of Billing Determinants'!$AC146), 0)</f>
        <v>20327</v>
      </c>
      <c r="I138" s="31">
        <f>ROUND('Sum of Billing Determinants'!J146*'Rate Calculations'!$G$9*(1-'Sum of Billing Determinants'!$AC146), 0)</f>
        <v>27414</v>
      </c>
      <c r="J138" s="31">
        <f>ROUND('Sum of Billing Determinants'!K146*'Rate Calculations'!$G$9*(1-'Sum of Billing Determinants'!$AC146), 0)</f>
        <v>34979</v>
      </c>
      <c r="K138" s="31">
        <f>ROUND('Sum of Billing Determinants'!L146*'Rate Calculations'!$G$9*(1-'Sum of Billing Determinants'!$AC146), 0)</f>
        <v>27425</v>
      </c>
      <c r="L138" s="31">
        <f>ROUND('Sum of Billing Determinants'!M146*'Rate Calculations'!$G$9*(1-'Sum of Billing Determinants'!$AC146), 0)</f>
        <v>26706</v>
      </c>
      <c r="M138" s="31">
        <f>ROUND('Sum of Billing Determinants'!N146*'Rate Calculations'!$G$9*(1-'Sum of Billing Determinants'!$AC146), 0)</f>
        <v>23976</v>
      </c>
      <c r="N138" s="31">
        <f t="shared" si="2"/>
        <v>262739</v>
      </c>
    </row>
    <row r="139" spans="2:14" x14ac:dyDescent="0.3">
      <c r="B139" s="27"/>
      <c r="C139" s="27"/>
      <c r="D139" s="28"/>
    </row>
    <row r="140" spans="2:14" x14ac:dyDescent="0.3">
      <c r="B140" s="27"/>
      <c r="C140" s="27"/>
      <c r="N140" s="6"/>
    </row>
    <row r="141" spans="2:14" x14ac:dyDescent="0.3">
      <c r="B141" s="27"/>
    </row>
    <row r="144" spans="2:14" x14ac:dyDescent="0.3">
      <c r="N144" s="6"/>
    </row>
  </sheetData>
  <conditionalFormatting sqref="B5:N138">
    <cfRule type="expression" dxfId="0" priority="1">
      <formula>MOD(ROW(),2)=1</formula>
    </cfRule>
  </conditionalFormatting>
  <printOptions horizontalCentered="1" gridLines="1"/>
  <pageMargins left="0.25" right="0.25" top="0.75" bottom="0.75" header="0.3" footer="0.3"/>
  <pageSetup scale="70" fitToHeight="3" orientation="landscape" r:id="rId1"/>
  <headerFooter>
    <oddFooter>&amp;LDecember 11, 2019&amp;R&amp;P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4D36032125F746A617CDE272689EB8" ma:contentTypeVersion="1" ma:contentTypeDescription="Create a new document." ma:contentTypeScope="" ma:versionID="84938d10bf1adf9185e2aba830e6008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6f9746fe128b0ca74698fd9d7c13d39e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internalName="PublishingStartDate">
      <xsd:simpleType>
        <xsd:restriction base="dms:Unknown"/>
      </xsd:simpleType>
    </xsd:element>
    <xsd:element name="PublishingExpirationDate" ma:index="9" nillable="true" ma:displayName="Scheduling End Dat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11581BA-F5F2-4F77-95D6-F22EFFD5CC68}"/>
</file>

<file path=customXml/itemProps2.xml><?xml version="1.0" encoding="utf-8"?>
<ds:datastoreItem xmlns:ds="http://schemas.openxmlformats.org/officeDocument/2006/customXml" ds:itemID="{340EC5B1-5392-4BCD-90C3-414BF1A29B2B}"/>
</file>

<file path=customXml/itemProps3.xml><?xml version="1.0" encoding="utf-8"?>
<ds:datastoreItem xmlns:ds="http://schemas.openxmlformats.org/officeDocument/2006/customXml" ds:itemID="{E61F99B2-F43F-46DB-AC6B-FE26CC295D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Rate Calculations</vt:lpstr>
      <vt:lpstr>Sum of Billing Determinants</vt:lpstr>
      <vt:lpstr>PF Customer Bill Amounts</vt:lpstr>
      <vt:lpstr>'Rate Calculations'!Print_Area</vt:lpstr>
      <vt:lpstr>'Sum of Billing Determinants'!Print_Area</vt:lpstr>
      <vt:lpstr>'PF Customer Bill Amounts'!Print_Titles</vt:lpstr>
    </vt:vector>
  </TitlesOfParts>
  <Company>Bonneville Power Administration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BPA User</dc:creator>
  <cp:lastModifiedBy>Heather Steele</cp:lastModifiedBy>
  <cp:lastPrinted>2019-12-09T22:05:17Z</cp:lastPrinted>
  <dcterms:created xsi:type="dcterms:W3CDTF">2017-09-18T21:42:42Z</dcterms:created>
  <dcterms:modified xsi:type="dcterms:W3CDTF">2019-12-10T18:48:43Z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0x010100FD4D36032125F746A617CDE272689EB8</vt:lpwstr>
  </property>
  <property fmtid="{D5CDD505-2E9C-101B-9397-08002B2CF9AE}" pid="3" name="Order">
    <vt:r8>400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</Properties>
</file>